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0380" windowHeight="6030" firstSheet="3" activeTab="3"/>
  </bookViews>
  <sheets>
    <sheet name="Sira Fr%RT98" sheetId="1" r:id="rId1"/>
    <sheet name="Remettants C H %RT98" sheetId="2" r:id="rId2"/>
    <sheet name="VpzLotsReception%RT98" sheetId="3" r:id="rId3"/>
    <sheet name="FluxTotAvr98" sheetId="4" r:id="rId4"/>
    <sheet name="Base_donProduct" sheetId="5" r:id="rId5"/>
    <sheet name="Base_donVpz" sheetId="6" r:id="rId6"/>
    <sheet name="Mixt&amp;Batt" sheetId="7" r:id="rId7"/>
    <sheet name="Accu&amp;Résé" sheetId="8" r:id="rId8"/>
    <sheet name="Hg&amp;PoussBtn" sheetId="9" r:id="rId9"/>
    <sheet name="PrélèvemtSilo" sheetId="10" r:id="rId10"/>
    <sheet name="bdoVPZ RT Mai98" sheetId="11" r:id="rId11"/>
    <sheet name="bdoCH RT Mai98" sheetId="12" r:id="rId12"/>
    <sheet name="Remettants Mai 98" sheetId="13" r:id="rId13"/>
  </sheets>
  <definedNames>
    <definedName name="accumulateurs">'PrélèvemtSilo'!$G$21</definedName>
    <definedName name="Batt6V">'Mixt&amp;Batt'!$B$25</definedName>
    <definedName name="sécuritasSira">'Accu&amp;Résé'!$A$15</definedName>
    <definedName name="sécuSira">'Accu&amp;Résé'!$A$15</definedName>
    <definedName name="Sira">'Mixt&amp;Batt'!$G$25</definedName>
    <definedName name="wrn.Mouvmnt._.Stock." hidden="1">{#N/A,#N/A,FALSE,"FluxTotAvr98";#N/A,#N/A,FALSE,"Mixt&amp;Batt";#N/A,#N/A,FALSE,"Accu&amp;R?s?";#N/A,#N/A,FALSE,"Hg&amp;PoussBtn"}</definedName>
  </definedNames>
  <calcPr fullCalcOnLoad="1"/>
</workbook>
</file>

<file path=xl/comments10.xml><?xml version="1.0" encoding="utf-8"?>
<comments xmlns="http://schemas.openxmlformats.org/spreadsheetml/2006/main">
  <authors>
    <author>Kitenge Somw?</author>
  </authors>
  <commentList>
    <comment ref="K3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= exemple k4+d5-F5…pour le total ligne 5.</t>
        </r>
      </text>
    </comment>
  </commentList>
</comments>
</file>

<file path=xl/comments11.xml><?xml version="1.0" encoding="utf-8"?>
<comments xmlns="http://schemas.openxmlformats.org/spreadsheetml/2006/main">
  <authors>
    <author>Kitenge Somw?</author>
  </authors>
  <commentList>
    <comment ref="I14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prochane pesée sur sem. 20 ne pas noter de nouveau!</t>
        </r>
      </text>
    </comment>
    <comment ref="J14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déjà enregistré pour sem.20 ne pas noter de nouveau! MANQUE 366KG SOLDE APRèSSnam</t>
        </r>
      </text>
    </comment>
    <comment ref="N14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Avancé sem 20</t>
        </r>
      </text>
    </comment>
  </commentList>
</comments>
</file>

<file path=xl/comments13.xml><?xml version="1.0" encoding="utf-8"?>
<comments xmlns="http://schemas.openxmlformats.org/spreadsheetml/2006/main">
  <authors>
    <author>Kitenge Somw?</author>
  </authors>
  <commentList>
    <comment ref="E51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Amstutz;conditionnement rendu
</t>
        </r>
      </text>
    </comment>
  </commentList>
</comments>
</file>

<file path=xl/comments7.xml><?xml version="1.0" encoding="utf-8"?>
<comments xmlns="http://schemas.openxmlformats.org/spreadsheetml/2006/main">
  <authors>
    <author>Kitenge Somw?</author>
  </authors>
  <commentList>
    <comment ref="D33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Déduire sur client Ch : env. 69 Kg via B3 Bleiker </t>
        </r>
      </text>
    </comment>
  </commentList>
</comments>
</file>

<file path=xl/comments8.xml><?xml version="1.0" encoding="utf-8"?>
<comments xmlns="http://schemas.openxmlformats.org/spreadsheetml/2006/main">
  <authors>
    <author>Kitenge Somw?</author>
  </authors>
  <commentList>
    <comment ref="M6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Rt en 85 kg via Sira charger Vpz
</t>
        </r>
      </text>
    </comment>
  </commentList>
</comments>
</file>

<file path=xl/sharedStrings.xml><?xml version="1.0" encoding="utf-8"?>
<sst xmlns="http://schemas.openxmlformats.org/spreadsheetml/2006/main" count="610" uniqueCount="395">
  <si>
    <t>Sem</t>
  </si>
  <si>
    <t>Van Peperzeel W.A. B.V.</t>
  </si>
  <si>
    <t>TOTAUX</t>
  </si>
  <si>
    <t>date</t>
  </si>
  <si>
    <t>N°erg</t>
  </si>
  <si>
    <t>BordN°</t>
  </si>
  <si>
    <t>Cridec</t>
  </si>
  <si>
    <t>Coop CH</t>
  </si>
  <si>
    <t>report  initial</t>
  </si>
  <si>
    <t>report</t>
  </si>
  <si>
    <t>in</t>
  </si>
  <si>
    <t>tot.</t>
  </si>
  <si>
    <t>s.i.</t>
  </si>
  <si>
    <t>Mdt</t>
  </si>
  <si>
    <t>solde</t>
  </si>
  <si>
    <t>sem</t>
  </si>
  <si>
    <t>Préfargier</t>
  </si>
  <si>
    <t>S.i.V.P.Z</t>
  </si>
  <si>
    <t>S.i.  CH</t>
  </si>
  <si>
    <t>TOTAUX PAR REMETTANT :</t>
  </si>
  <si>
    <t xml:space="preserve">Recymet     1123   Aclens </t>
  </si>
  <si>
    <r>
      <t xml:space="preserve">         </t>
    </r>
    <r>
      <rPr>
        <sz val="18"/>
        <rFont val="MS Sans Serif"/>
        <family val="2"/>
      </rPr>
      <t>G</t>
    </r>
    <r>
      <rPr>
        <sz val="14"/>
        <rFont val="MS Sans Serif"/>
        <family val="2"/>
      </rPr>
      <t>EST</t>
    </r>
    <r>
      <rPr>
        <sz val="18"/>
        <rFont val="MS Sans Serif"/>
        <family val="2"/>
      </rPr>
      <t>OS</t>
    </r>
    <r>
      <rPr>
        <sz val="14"/>
        <rFont val="MS Sans Serif"/>
        <family val="2"/>
      </rPr>
      <t xml:space="preserve">TOCK                                                </t>
    </r>
  </si>
  <si>
    <t>INVENTAIRE MENSUEL</t>
  </si>
  <si>
    <t>A 1  A 2</t>
  </si>
  <si>
    <t xml:space="preserve">MIXTES , BATTERIES ET RESERVE </t>
  </si>
  <si>
    <t>S.Kitenge  Ghu</t>
  </si>
  <si>
    <t>Piles MIXTES M.D.T.silo</t>
  </si>
  <si>
    <t>Reserve pr/silo triées</t>
  </si>
  <si>
    <t>15 V. Afr (cubique) silo</t>
  </si>
  <si>
    <t>D.Hg Afr (cylindrique) silo</t>
  </si>
  <si>
    <t>TOTAL MIXTES A 1</t>
  </si>
  <si>
    <t>Batteries Arsenal(Caisses</t>
  </si>
  <si>
    <t>Batteries Arsenal(Big-Bag</t>
  </si>
  <si>
    <t>Batteries Clôtures</t>
  </si>
  <si>
    <t>TOTAL BATTERIES B 2</t>
  </si>
  <si>
    <t>Batt.Structure métallique</t>
  </si>
  <si>
    <t>Batt.Salines Verre</t>
  </si>
  <si>
    <t>TOTAL FEUILLE :</t>
  </si>
  <si>
    <t>C 1  C 2</t>
  </si>
  <si>
    <t>SELS,Hg liquide,POUSS.BOUTONS</t>
  </si>
  <si>
    <t>Solutions Hg liquide</t>
  </si>
  <si>
    <t>Thermomètres Hg</t>
  </si>
  <si>
    <t>Contacteurs Hg (verre)</t>
  </si>
  <si>
    <t>Produits Pharma.périmés</t>
  </si>
  <si>
    <t>Sels de mercure</t>
  </si>
  <si>
    <t xml:space="preserve">TOTAL Hg,sels  C 1 </t>
  </si>
  <si>
    <t>Oxyde de ZINC</t>
  </si>
  <si>
    <t>Boue d'hydroxyde métalque</t>
  </si>
  <si>
    <t>Oxyde de Manganèse</t>
  </si>
  <si>
    <t>Poudre d'oxyde mercure</t>
  </si>
  <si>
    <t>Terre souillée</t>
  </si>
  <si>
    <t>Déchets TRI divers</t>
  </si>
  <si>
    <t>Poussière Boutons,3 A</t>
  </si>
  <si>
    <t>Poussière cyclône</t>
  </si>
  <si>
    <t>Poussière Silo (noire)</t>
  </si>
  <si>
    <t>TOTAL Pouss,Boutons  C 2</t>
  </si>
  <si>
    <t>Piles BOUTONS Hg</t>
  </si>
  <si>
    <t>Piles Boutons Blisters</t>
  </si>
  <si>
    <t>Piles Boutons ZincAir</t>
  </si>
  <si>
    <t>TOTAL</t>
  </si>
  <si>
    <t>Feuille 1</t>
  </si>
  <si>
    <t>Feuille 2</t>
  </si>
  <si>
    <t>Feuille 3</t>
  </si>
  <si>
    <t xml:space="preserve">TOTAL FEUILLE  : </t>
  </si>
  <si>
    <t>Recymet  1123-Aclens</t>
  </si>
  <si>
    <t>B 1  B 2</t>
  </si>
  <si>
    <t>ACCUMULATEURS ET RESE</t>
  </si>
  <si>
    <t>Ni-Cd PACK</t>
  </si>
  <si>
    <t>P.Moy: 406</t>
  </si>
  <si>
    <t>Ni-Cd Monocells</t>
  </si>
  <si>
    <t>P.Moy: 566</t>
  </si>
  <si>
    <t>Ni-Cd Batterie Industrielle</t>
  </si>
  <si>
    <t>Total  Nickel Cadmium</t>
  </si>
  <si>
    <t>Piles au LITHIUM</t>
  </si>
  <si>
    <t>Pack in</t>
  </si>
  <si>
    <t>Monocell in</t>
  </si>
  <si>
    <t>Batt.indust in</t>
  </si>
  <si>
    <t xml:space="preserve">TOTAL Accu  B 1 </t>
  </si>
  <si>
    <t>Accumulat. au PLOMBS</t>
  </si>
  <si>
    <t>Condensateurs</t>
  </si>
  <si>
    <t>Relais au mercure</t>
  </si>
  <si>
    <t>RESE  5</t>
  </si>
  <si>
    <t>RESE  6</t>
  </si>
  <si>
    <t>RESE  7</t>
  </si>
  <si>
    <t>RESE  8</t>
  </si>
  <si>
    <t>TOTAL  Résé  B 2</t>
  </si>
  <si>
    <t>RESE 10</t>
  </si>
  <si>
    <t>RESE 10  Z</t>
  </si>
  <si>
    <t>RESE  11</t>
  </si>
  <si>
    <t>TARTAN</t>
  </si>
  <si>
    <t>6 V</t>
  </si>
  <si>
    <t>Bat.arsenal</t>
  </si>
  <si>
    <t>Batt Clôture</t>
  </si>
  <si>
    <t>Bat.struct.métal</t>
  </si>
  <si>
    <t>Alcaline verre</t>
  </si>
  <si>
    <t>Lithium</t>
  </si>
  <si>
    <t>Relais</t>
  </si>
  <si>
    <t>Ni-Cd Pack</t>
  </si>
  <si>
    <t>Ni-Cd Mono</t>
  </si>
  <si>
    <t>Ni-Cd Bat.Ind</t>
  </si>
  <si>
    <t>Accu Plombs</t>
  </si>
  <si>
    <t>Piles Bout.Hg</t>
  </si>
  <si>
    <t>Poussièr Trémies Cyclône</t>
  </si>
  <si>
    <t>Poussièr Silo (noire)</t>
  </si>
  <si>
    <t>Thermomètre Hg</t>
  </si>
  <si>
    <t>Condnsat</t>
  </si>
  <si>
    <t>métaux poubelle cartons</t>
  </si>
  <si>
    <t>CH  Total Hebdo</t>
  </si>
  <si>
    <t>Totaux CH/VPZ</t>
  </si>
  <si>
    <t>total mois</t>
  </si>
  <si>
    <t>totCH</t>
  </si>
  <si>
    <t>totVPZ</t>
  </si>
  <si>
    <t>totMars</t>
  </si>
  <si>
    <t xml:space="preserve"> VPZ Sem</t>
  </si>
  <si>
    <t>Vpz Total Hebdo</t>
  </si>
  <si>
    <t>Total mois</t>
  </si>
  <si>
    <t>tot VPZ</t>
  </si>
  <si>
    <t>tot CH</t>
  </si>
  <si>
    <t>tot.Gén.:</t>
  </si>
  <si>
    <t>Mois et semaine</t>
  </si>
  <si>
    <t xml:space="preserve">Nom du remettant </t>
  </si>
  <si>
    <t xml:space="preserve">Quantité initial </t>
  </si>
  <si>
    <t>Entrée du remettant</t>
  </si>
  <si>
    <t>Total intermédiaire</t>
  </si>
  <si>
    <t>MDT</t>
  </si>
  <si>
    <t>RT</t>
  </si>
  <si>
    <t>Solde en stock BRUT</t>
  </si>
  <si>
    <t>Détail des soldes</t>
  </si>
  <si>
    <t>Solde en Silo</t>
  </si>
  <si>
    <t>Total reporté</t>
  </si>
  <si>
    <t>INFO</t>
  </si>
  <si>
    <t>VPZ</t>
  </si>
  <si>
    <t>TOTAUX EN SILO :</t>
  </si>
  <si>
    <t>Mis en SILO Net</t>
  </si>
  <si>
    <t>Tartan</t>
  </si>
  <si>
    <r>
      <t xml:space="preserve"> </t>
    </r>
    <r>
      <rPr>
        <sz val="8"/>
        <rFont val="Arial"/>
        <family val="2"/>
      </rPr>
      <t xml:space="preserve">Semaine </t>
    </r>
    <r>
      <rPr>
        <b/>
        <sz val="8"/>
        <rFont val="Arial"/>
        <family val="2"/>
      </rPr>
      <t>CH</t>
    </r>
  </si>
  <si>
    <t>Chenev</t>
  </si>
  <si>
    <t>tot MDT</t>
  </si>
  <si>
    <t>Ch,Vpz</t>
  </si>
  <si>
    <t>tot RT</t>
  </si>
  <si>
    <t>TotSilo</t>
  </si>
  <si>
    <t>Mixtes</t>
  </si>
  <si>
    <t>Rt</t>
  </si>
  <si>
    <t>Silo</t>
  </si>
  <si>
    <t>tot.MxtSilo</t>
  </si>
  <si>
    <t>tot.TartanSilo</t>
  </si>
  <si>
    <t>Mois</t>
  </si>
  <si>
    <t>Lot N°</t>
  </si>
  <si>
    <t>Quantité reçue</t>
  </si>
  <si>
    <t>Flux  rotation de l'exercice</t>
  </si>
  <si>
    <t>Sortie MDT Mise à Disposition Triage Vpz</t>
  </si>
  <si>
    <t>RT Réduction du Tri Vpz</t>
  </si>
  <si>
    <t>QRT (Quantité Résultante du Tri)</t>
  </si>
  <si>
    <t>CUMUL Vpz Silo</t>
  </si>
  <si>
    <t>Solde reporté</t>
  </si>
  <si>
    <t>Totaux Vpz, CH</t>
  </si>
  <si>
    <t>Résé,6 V</t>
  </si>
  <si>
    <t>Remarques</t>
  </si>
  <si>
    <t>Solde en silo</t>
  </si>
  <si>
    <t>lot N° 1 reçu</t>
  </si>
  <si>
    <t>le 25/11/97</t>
  </si>
  <si>
    <t>Somme nov.97</t>
  </si>
  <si>
    <t>Pas de prod</t>
  </si>
  <si>
    <t>sur Vpz en</t>
  </si>
  <si>
    <t>Nov97.</t>
  </si>
  <si>
    <t>In Silo Nov :</t>
  </si>
  <si>
    <t xml:space="preserve"> </t>
  </si>
  <si>
    <t>Mdt :79919</t>
  </si>
  <si>
    <t>Rt :     6533</t>
  </si>
  <si>
    <t>Somme déc.97</t>
  </si>
  <si>
    <t>Piles CH</t>
  </si>
  <si>
    <t>Somme janv.98</t>
  </si>
  <si>
    <t>Somme févr.98</t>
  </si>
  <si>
    <t>Totaux Recymet</t>
  </si>
  <si>
    <t>CH , Vpz 1998</t>
  </si>
  <si>
    <t>Somme mars.98</t>
  </si>
  <si>
    <t>Total</t>
  </si>
  <si>
    <t>Stock initial</t>
  </si>
  <si>
    <t>Entrée Vpz</t>
  </si>
  <si>
    <t>Entrée CH</t>
  </si>
  <si>
    <t>Total des entrées</t>
  </si>
  <si>
    <t>Flux  rotation</t>
  </si>
  <si>
    <t>Sortie MDT Vpz</t>
  </si>
  <si>
    <t>Rt Vpz</t>
  </si>
  <si>
    <t>QRT (quantRésTri) Vpz</t>
  </si>
  <si>
    <t>Sortie MDT CH</t>
  </si>
  <si>
    <t>Rt CH</t>
  </si>
  <si>
    <t>QRT (quantRésTri) CH</t>
  </si>
  <si>
    <t>QRT NET SILO mixtes</t>
  </si>
  <si>
    <t>Total sortie SILO</t>
  </si>
  <si>
    <t>ResultatSILO intégral</t>
  </si>
  <si>
    <t>TOTAUX RT :</t>
  </si>
  <si>
    <t>NET SILO</t>
  </si>
  <si>
    <t>Amstutz</t>
  </si>
  <si>
    <t>Jaeger&amp;Bossard</t>
  </si>
  <si>
    <t>Cern</t>
  </si>
  <si>
    <t>Sira</t>
  </si>
  <si>
    <t>Total SILO CH Sem.17</t>
  </si>
  <si>
    <t>arsenal</t>
  </si>
  <si>
    <t>tartan</t>
  </si>
  <si>
    <t>Arsenal</t>
  </si>
  <si>
    <t>Stock Brut</t>
  </si>
  <si>
    <t>TOTAL CH</t>
  </si>
  <si>
    <t>"SIRA"</t>
  </si>
  <si>
    <t>Léclanché</t>
  </si>
  <si>
    <t>tot.Arsen.Silo</t>
  </si>
  <si>
    <t>sem.18</t>
  </si>
  <si>
    <t>toutes les matières</t>
  </si>
  <si>
    <t>CH</t>
  </si>
  <si>
    <t>TOTAUX Mixtes,CH Vpz</t>
  </si>
  <si>
    <t>15 v Arsenal</t>
  </si>
  <si>
    <r>
      <t xml:space="preserve">Total </t>
    </r>
    <r>
      <rPr>
        <sz val="8"/>
        <rFont val="Arial"/>
        <family val="2"/>
      </rPr>
      <t>CH</t>
    </r>
  </si>
  <si>
    <r>
      <t xml:space="preserve">Total </t>
    </r>
    <r>
      <rPr>
        <sz val="8"/>
        <rFont val="Arial"/>
        <family val="2"/>
      </rPr>
      <t>Vpz</t>
    </r>
  </si>
  <si>
    <t>Stésa</t>
  </si>
  <si>
    <t>prod.S18</t>
  </si>
  <si>
    <t>Total SILO</t>
  </si>
  <si>
    <t>déchets</t>
  </si>
  <si>
    <t>FLUX DE ROTATION TOTAL DES ENTREES ET SORTIES</t>
  </si>
  <si>
    <t>Entrée</t>
  </si>
  <si>
    <t>P. Mixtes</t>
  </si>
  <si>
    <t>Entrées</t>
  </si>
  <si>
    <t>Spéciaux</t>
  </si>
  <si>
    <t>chiffres</t>
  </si>
  <si>
    <t>additionnés</t>
  </si>
  <si>
    <t>SORTIE</t>
  </si>
  <si>
    <t>Sortie</t>
  </si>
  <si>
    <t>Déchets</t>
  </si>
  <si>
    <t>batt.arsenal</t>
  </si>
  <si>
    <t>Totaux</t>
  </si>
  <si>
    <t>des entrées</t>
  </si>
  <si>
    <t>des sorties</t>
  </si>
  <si>
    <t>de Tri</t>
  </si>
  <si>
    <t>CALCUL DU MOUVEMENT</t>
  </si>
  <si>
    <t>(mois précédent)</t>
  </si>
  <si>
    <t>S.I.</t>
  </si>
  <si>
    <t>Sorties</t>
  </si>
  <si>
    <t>S.F.inventaire</t>
  </si>
  <si>
    <t>Différence</t>
  </si>
  <si>
    <t>P.Mixtes</t>
  </si>
  <si>
    <t>S.F. Mouvmnt</t>
  </si>
  <si>
    <t>(totaux entrées</t>
  </si>
  <si>
    <t>P. Mixtes)</t>
  </si>
  <si>
    <t>Stock Recymet S.A. 1123 Aclens</t>
  </si>
  <si>
    <t>Batt. Arsenal</t>
  </si>
  <si>
    <t>Tartan in Silo</t>
  </si>
  <si>
    <r>
      <t xml:space="preserve">TOTAUX SOLDES  </t>
    </r>
    <r>
      <rPr>
        <sz val="8"/>
        <rFont val="Times New Roman"/>
        <family val="1"/>
      </rPr>
      <t>reporté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sem 18</t>
    </r>
    <r>
      <rPr>
        <b/>
        <sz val="8"/>
        <rFont val="Times New Roman"/>
        <family val="1"/>
      </rPr>
      <t>:</t>
    </r>
  </si>
  <si>
    <t>Total SILO CH Sem.19</t>
  </si>
  <si>
    <t>sem.19</t>
  </si>
  <si>
    <t>sem.20</t>
  </si>
  <si>
    <t>sem.21</t>
  </si>
  <si>
    <t>lots,38,39</t>
  </si>
  <si>
    <t>Somme 18</t>
  </si>
  <si>
    <t>Somme 19</t>
  </si>
  <si>
    <t>Somme 20</t>
  </si>
  <si>
    <t>1jr/17</t>
  </si>
  <si>
    <t>Somme21</t>
  </si>
  <si>
    <t>AccPlbs</t>
  </si>
  <si>
    <t>NCBi</t>
  </si>
  <si>
    <t>TotmensSpéciaux:</t>
  </si>
  <si>
    <t>TotMensGénéral:</t>
  </si>
  <si>
    <t>40/119</t>
  </si>
  <si>
    <t>41/120</t>
  </si>
  <si>
    <t>spéc et mxt CH</t>
  </si>
  <si>
    <t>lost 40,41</t>
  </si>
  <si>
    <t>420 Kg par</t>
  </si>
  <si>
    <t>jour</t>
  </si>
  <si>
    <t xml:space="preserve">  entre</t>
  </si>
  <si>
    <t>340 et</t>
  </si>
  <si>
    <t>380Kg/jour</t>
  </si>
  <si>
    <t>charge du</t>
  </si>
  <si>
    <t>inchangée.</t>
  </si>
  <si>
    <t>moyenne à</t>
  </si>
  <si>
    <t>380 Kg</t>
  </si>
  <si>
    <t>par jour</t>
  </si>
  <si>
    <t>1 Bg-Bag</t>
  </si>
  <si>
    <t>prod.S19</t>
  </si>
  <si>
    <t>prod.S20</t>
  </si>
  <si>
    <t>prod.S21</t>
  </si>
  <si>
    <t>S 18</t>
  </si>
  <si>
    <t>Amst.</t>
  </si>
  <si>
    <t>Somme avr.98</t>
  </si>
  <si>
    <t>6,15v,10z,tartan*</t>
  </si>
  <si>
    <t xml:space="preserve"> (+ tartan*)</t>
  </si>
  <si>
    <t>Produit in Silo Mixtes</t>
  </si>
  <si>
    <t>42/122</t>
  </si>
  <si>
    <t>Coop</t>
  </si>
  <si>
    <t>43/125</t>
  </si>
  <si>
    <t>Ralston</t>
  </si>
  <si>
    <t>Bleiker</t>
  </si>
  <si>
    <t>Serbeco</t>
  </si>
  <si>
    <t>Les Chenev.</t>
  </si>
  <si>
    <t>(OPTION</t>
  </si>
  <si>
    <t>Résé 10 Z)</t>
  </si>
  <si>
    <t>Cheneviers</t>
  </si>
  <si>
    <t>lot 43</t>
  </si>
  <si>
    <t>inchangée</t>
  </si>
  <si>
    <t>Total par matière:</t>
  </si>
  <si>
    <t>diff avecDoc %RT</t>
  </si>
  <si>
    <t>RECYMET SA                  1123 ACLENS</t>
  </si>
  <si>
    <t>Tableau de répartition des Piles Hollandaises</t>
  </si>
  <si>
    <t xml:space="preserve">                                                                Matières Reduitent du Tri</t>
  </si>
  <si>
    <t xml:space="preserve">Gestion de Stock /   LOTS  Vpz NL                                                  Flux quantitatif Pourçentage R T </t>
  </si>
  <si>
    <t>V P Z</t>
  </si>
  <si>
    <t>MOIS de l'exercice</t>
  </si>
  <si>
    <t>MDT MISE à DISPOS. TRI</t>
  </si>
  <si>
    <t>Batt.  6 V</t>
  </si>
  <si>
    <t>Batterie Clôt.</t>
  </si>
  <si>
    <t>struct.  Métal.</t>
  </si>
  <si>
    <t xml:space="preserve"> Ni-Cd Pack</t>
  </si>
  <si>
    <t>Ni-Cd MonoC</t>
  </si>
  <si>
    <t>Ni-Cd Bat Indust</t>
  </si>
  <si>
    <t>Acc Plombs</t>
  </si>
  <si>
    <t>Bouton cells</t>
  </si>
  <si>
    <t>Pouss Bouton</t>
  </si>
  <si>
    <t>Pouss silo noire</t>
  </si>
  <si>
    <t>Métaux déch</t>
  </si>
  <si>
    <t>Reçu de Van Peperzeel :</t>
  </si>
  <si>
    <t>Totaux des lots :</t>
  </si>
  <si>
    <t>Total Mis à Disposition TRI :</t>
  </si>
  <si>
    <t>TOTAL GENERAL INTERMEDIAIRE DES REDUCTIONS DU TRI ET POURCENTAGE MATIERE</t>
  </si>
  <si>
    <t>Estimation</t>
  </si>
  <si>
    <t>6 v</t>
  </si>
  <si>
    <t>Batterie Clôture</t>
  </si>
  <si>
    <t>Batt.Struct Métal</t>
  </si>
  <si>
    <t>NiCd Pack</t>
  </si>
  <si>
    <t>NiCd Monocell</t>
  </si>
  <si>
    <t>NiCd Batt ind</t>
  </si>
  <si>
    <t>Piles Bouton</t>
  </si>
  <si>
    <t>PousSilnoire</t>
  </si>
  <si>
    <t>Condansat</t>
  </si>
  <si>
    <t>Métx Déch</t>
  </si>
  <si>
    <t>Solde en stock :</t>
  </si>
  <si>
    <t>TOTAUX Général R.T.</t>
  </si>
  <si>
    <t>Mise à Dispo. Total Tri :</t>
  </si>
  <si>
    <r>
      <t xml:space="preserve">Pourçent général </t>
    </r>
    <r>
      <rPr>
        <sz val="7"/>
        <rFont val="Arial"/>
        <family val="2"/>
      </rPr>
      <t>sur quant.TRI :</t>
    </r>
  </si>
  <si>
    <t>Tableau de répartition des Piles Suisse</t>
  </si>
  <si>
    <t xml:space="preserve">Gestion de Stock /   Remettants Ch                                                  Flux quantitatif Pourçentage R T </t>
  </si>
  <si>
    <t>Reçu de div. remettants :</t>
  </si>
  <si>
    <t>Alcaline Verre</t>
  </si>
  <si>
    <t>C H</t>
  </si>
  <si>
    <t>Sira Fr</t>
  </si>
  <si>
    <t xml:space="preserve">Gestion de Stock /   Sira France                                                  Flux quantitatif Pourçentage R T </t>
  </si>
  <si>
    <t>Tableau de répartition des Piles Françaises</t>
  </si>
  <si>
    <t>Pouss Bout</t>
  </si>
  <si>
    <t>MDT MISE à DISPOSTRI</t>
  </si>
  <si>
    <t>alcaline verre</t>
  </si>
  <si>
    <t>ANCIENNE SITUATION SIRA LIVRAISON 1996 à OCTOBRE 1997</t>
  </si>
  <si>
    <t>calculé sur un total reçu de  :</t>
  </si>
  <si>
    <t>soit en pourçent RT de :</t>
  </si>
  <si>
    <t>Total des reduction du tri :</t>
  </si>
  <si>
    <t>total par remettantsCH</t>
  </si>
  <si>
    <t>Tot.Général Vpz / Ch:</t>
  </si>
  <si>
    <t>P.moy:275</t>
  </si>
  <si>
    <t>rendu</t>
  </si>
  <si>
    <t>Rapport Conditionnement</t>
  </si>
  <si>
    <r>
      <t xml:space="preserve">Berthod/Bramois a remis les 31 pal,mais sans faire signer! Remis de Ski complément </t>
    </r>
    <r>
      <rPr>
        <u val="single"/>
        <sz val="8"/>
        <rFont val="Arial"/>
        <family val="2"/>
      </rPr>
      <t xml:space="preserve">3 p.et 3 cd.à sa charge </t>
    </r>
    <r>
      <rPr>
        <sz val="8"/>
        <rFont val="Arial"/>
        <family val="2"/>
      </rPr>
      <t xml:space="preserve">de les faire parvenir c° Bleiker </t>
    </r>
  </si>
  <si>
    <t>Livraison 20 Pal. EURO.Le chauffeur n'a pas reçu de consigne particulière;de plus ne retourne pas à la Chaux-de-Fonds.</t>
  </si>
  <si>
    <t>condt</t>
  </si>
  <si>
    <t>Remet</t>
  </si>
  <si>
    <t>Livré par GLUR transp. De la part de Streck.</t>
  </si>
  <si>
    <t>Tél : 0…../2056633</t>
  </si>
  <si>
    <t>poursem 20</t>
  </si>
  <si>
    <t>Somme 21</t>
  </si>
  <si>
    <t>Somme22</t>
  </si>
  <si>
    <t>1 / 131</t>
  </si>
  <si>
    <t>ESR</t>
  </si>
  <si>
    <t>Epfl</t>
  </si>
  <si>
    <t>viaEpfl</t>
  </si>
  <si>
    <t>44/133</t>
  </si>
  <si>
    <t>2 / 134</t>
  </si>
  <si>
    <t>UsMisn</t>
  </si>
  <si>
    <t>US mission</t>
  </si>
  <si>
    <t>Sra in Silo</t>
  </si>
  <si>
    <t>sem.22</t>
  </si>
  <si>
    <t>prod.S22</t>
  </si>
  <si>
    <t>remplisgSilo</t>
  </si>
  <si>
    <t>Solde CH</t>
  </si>
  <si>
    <t>Solde Vpz</t>
  </si>
  <si>
    <t>Total SILO CH Sem.</t>
  </si>
  <si>
    <t>Total SILO Ch Sem.22</t>
  </si>
  <si>
    <t>Total SILO Ch Sem.20</t>
  </si>
  <si>
    <t>tot.15vsilo:</t>
  </si>
  <si>
    <t xml:space="preserve">            moins Solde in Silo</t>
  </si>
  <si>
    <t>au 31/05/98</t>
  </si>
  <si>
    <t xml:space="preserve">(=  176'054  )  </t>
  </si>
  <si>
    <t>Résé 10 Z</t>
  </si>
  <si>
    <t>Entrée spéciaux</t>
  </si>
  <si>
    <t>Entrées Accu</t>
  </si>
  <si>
    <t xml:space="preserve">15 v </t>
  </si>
  <si>
    <t>Expédition</t>
  </si>
  <si>
    <t>Ni-Cd</t>
  </si>
  <si>
    <t>Net Mixtes</t>
  </si>
  <si>
    <t>Produit brut avril 98</t>
  </si>
  <si>
    <t xml:space="preserve">TOTAL BRUT EN SILO </t>
  </si>
  <si>
    <t>Cumul Brut en silo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</si>
</sst>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-* #,##0\ _F_-;\-* #,##0\ _F_-;_-* &quot;-&quot;??\ _F_-;_-@_-"/>
    <numFmt numFmtId="165" formatCode="d/m/yy"/>
    <numFmt numFmtId="166" formatCode="mmm\-yy"/>
    <numFmt numFmtId="167" formatCode="d/m"/>
    <numFmt numFmtId="168" formatCode="_ * #,##0.000_ ;_ * \-#,##0.000_ ;_ * &quot;-&quot;??_ ;_ @_ "/>
    <numFmt numFmtId="169" formatCode="_ * #,##0.0_ ;_ * \-#,##0.0_ ;_ * &quot;-&quot;??_ ;_ @_ "/>
    <numFmt numFmtId="170" formatCode="_(* #,##0_);_(* \(#,##0\);_(* &quot;-&quot;??_);_(@_)"/>
    <numFmt numFmtId="171" formatCode="#\ ?/2"/>
    <numFmt numFmtId="172" formatCode="_ * #,##0_ ;_ * \-#,##0_ ;_ * &quot;-&quot;??_ ;_ @_ "/>
  </numFmts>
  <fonts count="2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4"/>
      <name val="MS Sans Serif"/>
      <family val="2"/>
    </font>
    <font>
      <sz val="18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Impact"/>
      <family val="2"/>
    </font>
    <font>
      <b/>
      <sz val="8"/>
      <name val="MS Sans Serif"/>
      <family val="0"/>
    </font>
    <font>
      <b/>
      <sz val="7"/>
      <name val="Arial"/>
      <family val="2"/>
    </font>
    <font>
      <b/>
      <sz val="7"/>
      <name val="MS Sans Serif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2" borderId="3" xfId="0" applyFont="1" applyFill="1" applyBorder="1" applyAlignment="1">
      <alignment/>
    </xf>
    <xf numFmtId="165" fontId="2" fillId="0" borderId="0" xfId="0" applyNumberFormat="1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3" xfId="0" applyFont="1" applyBorder="1" applyAlignment="1">
      <alignment/>
    </xf>
    <xf numFmtId="165" fontId="1" fillId="0" borderId="3" xfId="0" applyNumberFormat="1" applyFont="1" applyBorder="1" applyAlignment="1">
      <alignment/>
    </xf>
    <xf numFmtId="0" fontId="1" fillId="2" borderId="3" xfId="0" applyFont="1" applyFill="1" applyBorder="1" applyAlignment="1">
      <alignment/>
    </xf>
    <xf numFmtId="165" fontId="2" fillId="0" borderId="3" xfId="0" applyNumberFormat="1" applyFont="1" applyBorder="1" applyAlignment="1">
      <alignment/>
    </xf>
    <xf numFmtId="0" fontId="1" fillId="2" borderId="5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left" vertical="center"/>
    </xf>
    <xf numFmtId="0" fontId="0" fillId="0" borderId="0" xfId="0" applyAlignment="1" quotePrefix="1">
      <alignment horizontal="left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165" fontId="5" fillId="0" borderId="0" xfId="0" applyNumberFormat="1" applyFont="1" applyAlignment="1">
      <alignment horizontal="center" vertical="top"/>
    </xf>
    <xf numFmtId="0" fontId="6" fillId="0" borderId="0" xfId="0" applyFont="1" applyAlignment="1" quotePrefix="1">
      <alignment horizontal="left" vertical="top" wrapText="1"/>
    </xf>
    <xf numFmtId="0" fontId="0" fillId="0" borderId="0" xfId="0" applyAlignment="1">
      <alignment vertical="top"/>
    </xf>
    <xf numFmtId="15" fontId="5" fillId="0" borderId="0" xfId="0" applyNumberFormat="1" applyFont="1" applyAlignment="1">
      <alignment horizontal="center" vertical="top"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7" xfId="0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0" fillId="0" borderId="2" xfId="0" applyBorder="1" applyAlignment="1">
      <alignment/>
    </xf>
    <xf numFmtId="0" fontId="10" fillId="0" borderId="0" xfId="0" applyFont="1" applyAlignment="1">
      <alignment horizontal="right"/>
    </xf>
    <xf numFmtId="0" fontId="2" fillId="0" borderId="2" xfId="0" applyFont="1" applyBorder="1" applyAlignment="1">
      <alignment/>
    </xf>
    <xf numFmtId="0" fontId="0" fillId="0" borderId="9" xfId="0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11" xfId="0" applyFont="1" applyBorder="1" applyAlignment="1">
      <alignment/>
    </xf>
    <xf numFmtId="0" fontId="1" fillId="2" borderId="0" xfId="0" applyFont="1" applyFill="1" applyAlignment="1">
      <alignment/>
    </xf>
    <xf numFmtId="1" fontId="2" fillId="0" borderId="0" xfId="0" applyNumberFormat="1" applyFont="1" applyBorder="1" applyAlignment="1">
      <alignment/>
    </xf>
    <xf numFmtId="1" fontId="1" fillId="0" borderId="11" xfId="15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wrapText="1"/>
    </xf>
    <xf numFmtId="164" fontId="8" fillId="0" borderId="0" xfId="15" applyNumberFormat="1" applyFont="1" applyAlignment="1">
      <alignment wrapText="1"/>
    </xf>
    <xf numFmtId="17" fontId="2" fillId="0" borderId="0" xfId="0" applyNumberFormat="1" applyFont="1" applyAlignment="1">
      <alignment/>
    </xf>
    <xf numFmtId="164" fontId="2" fillId="0" borderId="0" xfId="15" applyNumberFormat="1" applyFont="1" applyAlignment="1">
      <alignment/>
    </xf>
    <xf numFmtId="164" fontId="2" fillId="0" borderId="3" xfId="15" applyNumberFormat="1" applyFont="1" applyBorder="1" applyAlignment="1">
      <alignment/>
    </xf>
    <xf numFmtId="0" fontId="1" fillId="0" borderId="0" xfId="0" applyNumberFormat="1" applyFont="1" applyAlignment="1">
      <alignment/>
    </xf>
    <xf numFmtId="164" fontId="1" fillId="0" borderId="0" xfId="15" applyNumberFormat="1" applyFont="1" applyAlignment="1">
      <alignment/>
    </xf>
    <xf numFmtId="164" fontId="2" fillId="0" borderId="0" xfId="15" applyNumberFormat="1" applyFont="1" applyBorder="1" applyAlignment="1">
      <alignment/>
    </xf>
    <xf numFmtId="17" fontId="1" fillId="0" borderId="0" xfId="0" applyNumberFormat="1" applyFont="1" applyAlignment="1">
      <alignment/>
    </xf>
    <xf numFmtId="164" fontId="2" fillId="0" borderId="0" xfId="15" applyNumberFormat="1" applyFont="1" applyBorder="1" applyAlignment="1">
      <alignment shrinkToFit="1"/>
    </xf>
    <xf numFmtId="164" fontId="2" fillId="0" borderId="0" xfId="0" applyNumberFormat="1" applyFont="1" applyAlignment="1">
      <alignment/>
    </xf>
    <xf numFmtId="164" fontId="2" fillId="0" borderId="5" xfId="15" applyNumberFormat="1" applyFont="1" applyBorder="1" applyAlignment="1">
      <alignment/>
    </xf>
    <xf numFmtId="164" fontId="2" fillId="0" borderId="9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164" fontId="0" fillId="0" borderId="0" xfId="15" applyNumberFormat="1" applyAlignment="1">
      <alignment/>
    </xf>
    <xf numFmtId="0" fontId="2" fillId="0" borderId="5" xfId="0" applyFont="1" applyBorder="1" applyAlignment="1">
      <alignment wrapText="1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43" fontId="1" fillId="0" borderId="0" xfId="15" applyFont="1" applyAlignment="1">
      <alignment/>
    </xf>
    <xf numFmtId="43" fontId="2" fillId="0" borderId="0" xfId="15" applyFont="1" applyAlignment="1">
      <alignment/>
    </xf>
    <xf numFmtId="164" fontId="1" fillId="0" borderId="14" xfId="0" applyNumberFormat="1" applyFont="1" applyBorder="1" applyAlignment="1">
      <alignment/>
    </xf>
    <xf numFmtId="43" fontId="2" fillId="0" borderId="0" xfId="15" applyFont="1" applyBorder="1" applyAlignment="1">
      <alignment/>
    </xf>
    <xf numFmtId="43" fontId="1" fillId="0" borderId="0" xfId="15" applyFont="1" applyBorder="1" applyAlignment="1">
      <alignment/>
    </xf>
    <xf numFmtId="166" fontId="2" fillId="0" borderId="0" xfId="0" applyNumberFormat="1" applyFont="1" applyAlignment="1">
      <alignment/>
    </xf>
    <xf numFmtId="0" fontId="2" fillId="0" borderId="15" xfId="0" applyFont="1" applyBorder="1" applyAlignment="1">
      <alignment/>
    </xf>
    <xf numFmtId="17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14" fillId="2" borderId="0" xfId="0" applyFont="1" applyFill="1" applyAlignment="1">
      <alignment vertical="center" wrapText="1"/>
    </xf>
    <xf numFmtId="14" fontId="2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0" fillId="2" borderId="0" xfId="0" applyFont="1" applyFill="1" applyAlignment="1" quotePrefix="1">
      <alignment horizontal="left" vertical="top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5" fillId="0" borderId="0" xfId="0" applyFont="1" applyAlignment="1">
      <alignment vertical="center" shrinkToFit="1"/>
    </xf>
    <xf numFmtId="170" fontId="15" fillId="0" borderId="0" xfId="15" applyNumberFormat="1" applyFont="1" applyBorder="1" applyAlignment="1">
      <alignment/>
    </xf>
    <xf numFmtId="17" fontId="15" fillId="0" borderId="0" xfId="0" applyNumberFormat="1" applyFont="1" applyAlignment="1">
      <alignment/>
    </xf>
    <xf numFmtId="0" fontId="10" fillId="2" borderId="0" xfId="0" applyFont="1" applyFill="1" applyAlignment="1">
      <alignment/>
    </xf>
    <xf numFmtId="170" fontId="10" fillId="2" borderId="0" xfId="0" applyNumberFormat="1" applyFont="1" applyFill="1" applyAlignment="1">
      <alignment/>
    </xf>
    <xf numFmtId="0" fontId="15" fillId="2" borderId="0" xfId="0" applyFont="1" applyFill="1" applyAlignment="1">
      <alignment/>
    </xf>
    <xf numFmtId="17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9" fontId="10" fillId="0" borderId="0" xfId="19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0" xfId="0" applyNumberFormat="1" applyFont="1" applyAlignment="1">
      <alignment/>
    </xf>
    <xf numFmtId="10" fontId="10" fillId="0" borderId="0" xfId="19" applyNumberFormat="1" applyFont="1" applyAlignment="1">
      <alignment/>
    </xf>
    <xf numFmtId="10" fontId="15" fillId="0" borderId="0" xfId="0" applyNumberFormat="1" applyFont="1" applyAlignment="1">
      <alignment/>
    </xf>
    <xf numFmtId="17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" fontId="15" fillId="0" borderId="0" xfId="15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7" fontId="15" fillId="0" borderId="0" xfId="0" applyNumberFormat="1" applyFont="1" applyFill="1" applyBorder="1" applyAlignment="1">
      <alignment/>
    </xf>
    <xf numFmtId="170" fontId="10" fillId="2" borderId="0" xfId="0" applyNumberFormat="1" applyFont="1" applyFill="1" applyBorder="1" applyAlignment="1">
      <alignment/>
    </xf>
    <xf numFmtId="10" fontId="10" fillId="0" borderId="0" xfId="0" applyNumberFormat="1" applyFont="1" applyAlignment="1">
      <alignment/>
    </xf>
    <xf numFmtId="10" fontId="10" fillId="0" borderId="0" xfId="15" applyNumberFormat="1" applyFont="1" applyAlignment="1">
      <alignment/>
    </xf>
    <xf numFmtId="10" fontId="15" fillId="0" borderId="0" xfId="15" applyNumberFormat="1" applyFont="1" applyAlignment="1">
      <alignment/>
    </xf>
    <xf numFmtId="0" fontId="10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7" fontId="10" fillId="0" borderId="3" xfId="0" applyNumberFormat="1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15" fillId="0" borderId="1" xfId="0" applyFont="1" applyFill="1" applyBorder="1" applyAlignment="1">
      <alignment/>
    </xf>
    <xf numFmtId="0" fontId="16" fillId="0" borderId="0" xfId="0" applyFont="1" applyBorder="1" applyAlignment="1">
      <alignment/>
    </xf>
    <xf numFmtId="170" fontId="10" fillId="0" borderId="0" xfId="0" applyNumberFormat="1" applyFont="1" applyFill="1" applyBorder="1" applyAlignment="1">
      <alignment/>
    </xf>
    <xf numFmtId="164" fontId="10" fillId="0" borderId="0" xfId="15" applyNumberFormat="1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9" fontId="10" fillId="0" borderId="0" xfId="19" applyFont="1" applyFill="1" applyBorder="1" applyAlignment="1">
      <alignment/>
    </xf>
    <xf numFmtId="0" fontId="15" fillId="0" borderId="0" xfId="0" applyFont="1" applyFill="1" applyBorder="1" applyAlignment="1">
      <alignment/>
    </xf>
    <xf numFmtId="10" fontId="10" fillId="0" borderId="0" xfId="19" applyNumberFormat="1" applyFont="1" applyFill="1" applyBorder="1" applyAlignment="1">
      <alignment/>
    </xf>
    <xf numFmtId="10" fontId="10" fillId="0" borderId="0" xfId="19" applyNumberFormat="1" applyFont="1" applyFill="1" applyBorder="1" applyAlignment="1" applyProtection="1">
      <alignment/>
      <protection/>
    </xf>
    <xf numFmtId="9" fontId="10" fillId="0" borderId="0" xfId="19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0" fontId="10" fillId="0" borderId="0" xfId="0" applyNumberFormat="1" applyFont="1" applyFill="1" applyBorder="1" applyAlignment="1">
      <alignment/>
    </xf>
    <xf numFmtId="170" fontId="15" fillId="0" borderId="0" xfId="0" applyNumberFormat="1" applyFont="1" applyFill="1" applyBorder="1" applyAlignment="1">
      <alignment/>
    </xf>
    <xf numFmtId="10" fontId="1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15" applyNumberFormat="1" applyFont="1" applyAlignment="1">
      <alignment/>
    </xf>
    <xf numFmtId="164" fontId="10" fillId="0" borderId="0" xfId="15" applyNumberFormat="1" applyFont="1" applyAlignment="1">
      <alignment/>
    </xf>
    <xf numFmtId="164" fontId="10" fillId="0" borderId="0" xfId="15" applyNumberFormat="1" applyFont="1" applyAlignment="1">
      <alignment/>
    </xf>
    <xf numFmtId="10" fontId="15" fillId="0" borderId="0" xfId="19" applyNumberFormat="1" applyFont="1" applyAlignment="1">
      <alignment/>
    </xf>
    <xf numFmtId="0" fontId="15" fillId="0" borderId="0" xfId="0" applyFont="1" applyBorder="1" applyAlignment="1" quotePrefix="1">
      <alignment horizontal="left"/>
    </xf>
    <xf numFmtId="0" fontId="15" fillId="0" borderId="0" xfId="0" applyFont="1" applyBorder="1" applyAlignment="1">
      <alignment/>
    </xf>
    <xf numFmtId="16" fontId="10" fillId="0" borderId="0" xfId="0" applyNumberFormat="1" applyFont="1" applyFill="1" applyBorder="1" applyAlignment="1">
      <alignment/>
    </xf>
    <xf numFmtId="170" fontId="10" fillId="0" borderId="0" xfId="0" applyNumberFormat="1" applyFont="1" applyBorder="1" applyAlignment="1">
      <alignment/>
    </xf>
    <xf numFmtId="0" fontId="10" fillId="0" borderId="0" xfId="15" applyNumberFormat="1" applyFont="1" applyAlignment="1">
      <alignment/>
    </xf>
    <xf numFmtId="0" fontId="10" fillId="0" borderId="0" xfId="0" applyFont="1" applyBorder="1" applyAlignment="1">
      <alignment horizontal="right"/>
    </xf>
    <xf numFmtId="10" fontId="15" fillId="0" borderId="0" xfId="19" applyNumberFormat="1" applyFont="1" applyBorder="1" applyAlignment="1">
      <alignment/>
    </xf>
    <xf numFmtId="0" fontId="10" fillId="0" borderId="0" xfId="0" applyFont="1" applyFill="1" applyAlignment="1">
      <alignment/>
    </xf>
    <xf numFmtId="9" fontId="10" fillId="0" borderId="0" xfId="19" applyFont="1" applyAlignment="1">
      <alignment/>
    </xf>
    <xf numFmtId="9" fontId="10" fillId="0" borderId="0" xfId="19" applyFont="1" applyAlignment="1">
      <alignment/>
    </xf>
    <xf numFmtId="10" fontId="10" fillId="0" borderId="0" xfId="0" applyNumberFormat="1" applyFont="1" applyFill="1" applyAlignment="1">
      <alignment/>
    </xf>
    <xf numFmtId="9" fontId="10" fillId="0" borderId="0" xfId="19" applyFont="1" applyFill="1" applyAlignment="1">
      <alignment/>
    </xf>
    <xf numFmtId="10" fontId="10" fillId="0" borderId="0" xfId="15" applyNumberFormat="1" applyFont="1" applyFill="1" applyAlignment="1">
      <alignment/>
    </xf>
    <xf numFmtId="17" fontId="15" fillId="0" borderId="3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0" fontId="10" fillId="0" borderId="0" xfId="0" applyNumberFormat="1" applyFont="1" applyFill="1" applyAlignment="1">
      <alignment/>
    </xf>
    <xf numFmtId="9" fontId="10" fillId="0" borderId="0" xfId="19" applyFont="1" applyFill="1" applyAlignment="1">
      <alignment/>
    </xf>
    <xf numFmtId="10" fontId="15" fillId="0" borderId="0" xfId="15" applyNumberFormat="1" applyFont="1" applyFill="1" applyAlignment="1">
      <alignment/>
    </xf>
    <xf numFmtId="9" fontId="15" fillId="0" borderId="0" xfId="19" applyFont="1" applyAlignment="1">
      <alignment/>
    </xf>
    <xf numFmtId="9" fontId="15" fillId="0" borderId="0" xfId="19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2" xfId="0" applyFont="1" applyBorder="1" applyAlignment="1">
      <alignment/>
    </xf>
    <xf numFmtId="43" fontId="15" fillId="0" borderId="0" xfId="15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15" fillId="0" borderId="5" xfId="0" applyFont="1" applyBorder="1" applyAlignment="1">
      <alignment/>
    </xf>
    <xf numFmtId="0" fontId="2" fillId="0" borderId="9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5" xfId="0" applyFont="1" applyFill="1" applyBorder="1" applyAlignment="1">
      <alignment/>
    </xf>
    <xf numFmtId="0" fontId="15" fillId="0" borderId="9" xfId="0" applyFont="1" applyBorder="1" applyAlignment="1" quotePrefix="1">
      <alignment horizontal="left"/>
    </xf>
    <xf numFmtId="0" fontId="10" fillId="0" borderId="0" xfId="15" applyNumberFormat="1" applyFont="1" applyBorder="1" applyAlignment="1">
      <alignment/>
    </xf>
    <xf numFmtId="0" fontId="10" fillId="0" borderId="11" xfId="0" applyFont="1" applyFill="1" applyBorder="1" applyAlignment="1">
      <alignment/>
    </xf>
    <xf numFmtId="43" fontId="15" fillId="0" borderId="0" xfId="15" applyFont="1" applyFill="1" applyBorder="1" applyAlignment="1">
      <alignment/>
    </xf>
    <xf numFmtId="9" fontId="15" fillId="0" borderId="0" xfId="19" applyFont="1" applyFill="1" applyBorder="1" applyAlignment="1">
      <alignment/>
    </xf>
    <xf numFmtId="0" fontId="15" fillId="0" borderId="5" xfId="0" applyFont="1" applyFill="1" applyBorder="1" applyAlignment="1">
      <alignment/>
    </xf>
    <xf numFmtId="0" fontId="15" fillId="0" borderId="6" xfId="0" applyFont="1" applyBorder="1" applyAlignment="1">
      <alignment/>
    </xf>
    <xf numFmtId="0" fontId="1" fillId="0" borderId="9" xfId="0" applyFont="1" applyBorder="1" applyAlignment="1">
      <alignment/>
    </xf>
    <xf numFmtId="172" fontId="11" fillId="0" borderId="0" xfId="15" applyNumberFormat="1" applyFont="1" applyAlignment="1">
      <alignment/>
    </xf>
    <xf numFmtId="172" fontId="11" fillId="0" borderId="1" xfId="15" applyNumberFormat="1" applyFont="1" applyBorder="1" applyAlignment="1">
      <alignment wrapText="1"/>
    </xf>
    <xf numFmtId="172" fontId="12" fillId="0" borderId="1" xfId="15" applyNumberFormat="1" applyFont="1" applyBorder="1" applyAlignment="1">
      <alignment wrapText="1"/>
    </xf>
    <xf numFmtId="172" fontId="11" fillId="0" borderId="6" xfId="15" applyNumberFormat="1" applyFont="1" applyBorder="1" applyAlignment="1">
      <alignment horizontal="center"/>
    </xf>
    <xf numFmtId="172" fontId="11" fillId="0" borderId="0" xfId="15" applyNumberFormat="1" applyFont="1" applyBorder="1" applyAlignment="1">
      <alignment/>
    </xf>
    <xf numFmtId="172" fontId="11" fillId="0" borderId="0" xfId="15" applyNumberFormat="1" applyFont="1" applyBorder="1" applyAlignment="1">
      <alignment wrapText="1"/>
    </xf>
    <xf numFmtId="172" fontId="11" fillId="0" borderId="0" xfId="15" applyNumberFormat="1" applyFont="1" applyAlignment="1">
      <alignment horizontal="center"/>
    </xf>
    <xf numFmtId="172" fontId="11" fillId="0" borderId="17" xfId="15" applyNumberFormat="1" applyFont="1" applyBorder="1" applyAlignment="1">
      <alignment/>
    </xf>
    <xf numFmtId="172" fontId="12" fillId="0" borderId="0" xfId="15" applyNumberFormat="1" applyFont="1" applyAlignment="1">
      <alignment/>
    </xf>
    <xf numFmtId="172" fontId="12" fillId="0" borderId="0" xfId="15" applyNumberFormat="1" applyFont="1" applyBorder="1" applyAlignment="1">
      <alignment/>
    </xf>
    <xf numFmtId="172" fontId="11" fillId="0" borderId="0" xfId="15" applyNumberFormat="1" applyFont="1" applyBorder="1" applyAlignment="1">
      <alignment horizontal="center"/>
    </xf>
    <xf numFmtId="172" fontId="11" fillId="0" borderId="0" xfId="15" applyNumberFormat="1" applyFont="1" applyAlignment="1" applyProtection="1">
      <alignment/>
      <protection/>
    </xf>
    <xf numFmtId="172" fontId="12" fillId="0" borderId="0" xfId="15" applyNumberFormat="1" applyFont="1" applyAlignment="1" applyProtection="1">
      <alignment/>
      <protection/>
    </xf>
    <xf numFmtId="172" fontId="11" fillId="2" borderId="0" xfId="15" applyNumberFormat="1" applyFont="1" applyFill="1" applyAlignment="1">
      <alignment/>
    </xf>
    <xf numFmtId="172" fontId="11" fillId="0" borderId="0" xfId="15" applyNumberFormat="1" applyFont="1" applyFill="1" applyAlignment="1">
      <alignment/>
    </xf>
    <xf numFmtId="172" fontId="12" fillId="3" borderId="15" xfId="15" applyNumberFormat="1" applyFont="1" applyFill="1" applyBorder="1" applyAlignment="1">
      <alignment/>
    </xf>
    <xf numFmtId="172" fontId="11" fillId="0" borderId="0" xfId="15" applyNumberFormat="1" applyFont="1" applyFill="1" applyBorder="1" applyAlignment="1">
      <alignment/>
    </xf>
    <xf numFmtId="172" fontId="11" fillId="0" borderId="3" xfId="15" applyNumberFormat="1" applyFont="1" applyBorder="1" applyAlignment="1">
      <alignment/>
    </xf>
    <xf numFmtId="172" fontId="11" fillId="0" borderId="11" xfId="15" applyNumberFormat="1" applyFont="1" applyBorder="1" applyAlignment="1">
      <alignment/>
    </xf>
    <xf numFmtId="172" fontId="11" fillId="0" borderId="1" xfId="15" applyNumberFormat="1" applyFont="1" applyBorder="1" applyAlignment="1">
      <alignment/>
    </xf>
    <xf numFmtId="172" fontId="11" fillId="0" borderId="15" xfId="15" applyNumberFormat="1" applyFont="1" applyBorder="1" applyAlignment="1">
      <alignment/>
    </xf>
    <xf numFmtId="172" fontId="2" fillId="0" borderId="0" xfId="15" applyNumberFormat="1" applyFont="1" applyBorder="1" applyAlignment="1">
      <alignment/>
    </xf>
    <xf numFmtId="172" fontId="12" fillId="0" borderId="17" xfId="15" applyNumberFormat="1" applyFont="1" applyBorder="1" applyAlignment="1">
      <alignment/>
    </xf>
    <xf numFmtId="172" fontId="12" fillId="0" borderId="3" xfId="15" applyNumberFormat="1" applyFont="1" applyBorder="1" applyAlignment="1">
      <alignment/>
    </xf>
    <xf numFmtId="172" fontId="11" fillId="0" borderId="3" xfId="15" applyNumberFormat="1" applyFont="1" applyBorder="1" applyAlignment="1">
      <alignment horizontal="center"/>
    </xf>
    <xf numFmtId="172" fontId="11" fillId="0" borderId="6" xfId="15" applyNumberFormat="1" applyFont="1" applyFill="1" applyBorder="1" applyAlignment="1">
      <alignment/>
    </xf>
    <xf numFmtId="172" fontId="12" fillId="0" borderId="1" xfId="15" applyNumberFormat="1" applyFont="1" applyFill="1" applyBorder="1" applyAlignment="1">
      <alignment/>
    </xf>
    <xf numFmtId="172" fontId="12" fillId="0" borderId="7" xfId="15" applyNumberFormat="1" applyFont="1" applyFill="1" applyBorder="1" applyAlignment="1">
      <alignment/>
    </xf>
    <xf numFmtId="172" fontId="12" fillId="0" borderId="1" xfId="15" applyNumberFormat="1" applyFont="1" applyBorder="1" applyAlignment="1">
      <alignment/>
    </xf>
    <xf numFmtId="172" fontId="12" fillId="2" borderId="0" xfId="15" applyNumberFormat="1" applyFont="1" applyFill="1" applyAlignment="1">
      <alignment/>
    </xf>
    <xf numFmtId="172" fontId="11" fillId="2" borderId="4" xfId="15" applyNumberFormat="1" applyFont="1" applyFill="1" applyBorder="1" applyAlignment="1">
      <alignment/>
    </xf>
    <xf numFmtId="172" fontId="11" fillId="2" borderId="4" xfId="15" applyNumberFormat="1" applyFont="1" applyFill="1" applyBorder="1" applyAlignment="1">
      <alignment horizontal="left"/>
    </xf>
    <xf numFmtId="172" fontId="12" fillId="0" borderId="0" xfId="15" applyNumberFormat="1" applyFont="1" applyAlignment="1">
      <alignment horizontal="right"/>
    </xf>
    <xf numFmtId="172" fontId="11" fillId="0" borderId="4" xfId="15" applyNumberFormat="1" applyFont="1" applyBorder="1" applyAlignment="1">
      <alignment/>
    </xf>
    <xf numFmtId="172" fontId="11" fillId="0" borderId="16" xfId="15" applyNumberFormat="1" applyFont="1" applyBorder="1" applyAlignment="1">
      <alignment/>
    </xf>
    <xf numFmtId="172" fontId="11" fillId="0" borderId="13" xfId="15" applyNumberFormat="1" applyFont="1" applyBorder="1" applyAlignment="1">
      <alignment/>
    </xf>
    <xf numFmtId="172" fontId="11" fillId="0" borderId="5" xfId="15" applyNumberFormat="1" applyFont="1" applyBorder="1" applyAlignment="1">
      <alignment/>
    </xf>
    <xf numFmtId="172" fontId="11" fillId="0" borderId="9" xfId="15" applyNumberFormat="1" applyFont="1" applyBorder="1" applyAlignment="1">
      <alignment/>
    </xf>
    <xf numFmtId="172" fontId="12" fillId="0" borderId="0" xfId="15" applyNumberFormat="1" applyFont="1" applyAlignment="1">
      <alignment/>
    </xf>
    <xf numFmtId="172" fontId="12" fillId="0" borderId="12" xfId="15" applyNumberFormat="1" applyFont="1" applyBorder="1" applyAlignment="1">
      <alignment/>
    </xf>
    <xf numFmtId="172" fontId="12" fillId="0" borderId="0" xfId="15" applyNumberFormat="1" applyFont="1" applyFill="1" applyAlignment="1">
      <alignment/>
    </xf>
    <xf numFmtId="166" fontId="11" fillId="0" borderId="0" xfId="15" applyNumberFormat="1" applyFont="1" applyAlignment="1">
      <alignment/>
    </xf>
    <xf numFmtId="166" fontId="11" fillId="0" borderId="0" xfId="15" applyNumberFormat="1" applyFont="1" applyBorder="1" applyAlignment="1">
      <alignment/>
    </xf>
    <xf numFmtId="172" fontId="2" fillId="0" borderId="0" xfId="15" applyNumberFormat="1" applyFont="1" applyAlignment="1">
      <alignment/>
    </xf>
    <xf numFmtId="172" fontId="2" fillId="0" borderId="5" xfId="15" applyNumberFormat="1" applyFont="1" applyBorder="1" applyAlignment="1">
      <alignment/>
    </xf>
    <xf numFmtId="172" fontId="2" fillId="0" borderId="0" xfId="15" applyNumberFormat="1" applyFont="1" applyBorder="1" applyAlignment="1">
      <alignment/>
    </xf>
    <xf numFmtId="172" fontId="2" fillId="0" borderId="5" xfId="15" applyNumberFormat="1" applyFont="1" applyBorder="1" applyAlignment="1">
      <alignment/>
    </xf>
    <xf numFmtId="172" fontId="2" fillId="0" borderId="0" xfId="0" applyNumberFormat="1" applyFont="1" applyAlignment="1">
      <alignment/>
    </xf>
    <xf numFmtId="172" fontId="11" fillId="0" borderId="12" xfId="15" applyNumberFormat="1" applyFont="1" applyBorder="1" applyAlignment="1">
      <alignment/>
    </xf>
    <xf numFmtId="0" fontId="10" fillId="0" borderId="17" xfId="0" applyFont="1" applyBorder="1" applyAlignment="1">
      <alignment vertical="center" wrapText="1"/>
    </xf>
    <xf numFmtId="0" fontId="15" fillId="0" borderId="3" xfId="0" applyFont="1" applyBorder="1" applyAlignment="1">
      <alignment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/>
    </xf>
    <xf numFmtId="172" fontId="12" fillId="0" borderId="4" xfId="15" applyNumberFormat="1" applyFont="1" applyBorder="1" applyAlignment="1">
      <alignment/>
    </xf>
    <xf numFmtId="172" fontId="12" fillId="0" borderId="0" xfId="15" applyNumberFormat="1" applyFont="1" applyBorder="1" applyAlignment="1">
      <alignment horizontal="center"/>
    </xf>
    <xf numFmtId="0" fontId="10" fillId="0" borderId="18" xfId="0" applyFont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15" fillId="0" borderId="0" xfId="15" applyNumberFormat="1" applyFont="1" applyAlignment="1">
      <alignment/>
    </xf>
    <xf numFmtId="0" fontId="0" fillId="0" borderId="17" xfId="0" applyBorder="1" applyAlignment="1">
      <alignment vertical="center" wrapText="1"/>
    </xf>
    <xf numFmtId="0" fontId="15" fillId="0" borderId="2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0" xfId="0" applyFont="1" applyAlignment="1">
      <alignment wrapText="1"/>
    </xf>
    <xf numFmtId="0" fontId="15" fillId="0" borderId="0" xfId="0" applyFont="1" applyBorder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7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7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3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2" xfId="0" applyFont="1" applyBorder="1" applyAlignment="1">
      <alignment/>
    </xf>
    <xf numFmtId="172" fontId="20" fillId="0" borderId="0" xfId="15" applyNumberFormat="1" applyFont="1" applyAlignment="1">
      <alignment/>
    </xf>
    <xf numFmtId="172" fontId="21" fillId="0" borderId="18" xfId="15" applyNumberFormat="1" applyFont="1" applyBorder="1" applyAlignment="1">
      <alignment horizontal="center"/>
    </xf>
    <xf numFmtId="172" fontId="20" fillId="0" borderId="18" xfId="15" applyNumberFormat="1" applyFont="1" applyBorder="1" applyAlignment="1">
      <alignment horizontal="center"/>
    </xf>
    <xf numFmtId="172" fontId="20" fillId="0" borderId="16" xfId="15" applyNumberFormat="1" applyFont="1" applyBorder="1" applyAlignment="1">
      <alignment/>
    </xf>
    <xf numFmtId="172" fontId="21" fillId="0" borderId="13" xfId="15" applyNumberFormat="1" applyFont="1" applyBorder="1" applyAlignment="1">
      <alignment horizontal="center"/>
    </xf>
    <xf numFmtId="172" fontId="20" fillId="0" borderId="0" xfId="15" applyNumberFormat="1" applyFont="1" applyAlignment="1">
      <alignment horizontal="center"/>
    </xf>
    <xf numFmtId="172" fontId="20" fillId="0" borderId="17" xfId="15" applyNumberFormat="1" applyFont="1" applyBorder="1" applyAlignment="1">
      <alignment horizontal="center"/>
    </xf>
    <xf numFmtId="172" fontId="20" fillId="0" borderId="3" xfId="15" applyNumberFormat="1" applyFont="1" applyBorder="1" applyAlignment="1">
      <alignment/>
    </xf>
    <xf numFmtId="172" fontId="20" fillId="0" borderId="12" xfId="15" applyNumberFormat="1" applyFont="1" applyBorder="1" applyAlignment="1">
      <alignment horizontal="center"/>
    </xf>
    <xf numFmtId="172" fontId="20" fillId="0" borderId="15" xfId="15" applyNumberFormat="1" applyFont="1" applyBorder="1" applyAlignment="1">
      <alignment horizontal="center"/>
    </xf>
    <xf numFmtId="172" fontId="20" fillId="0" borderId="9" xfId="15" applyNumberFormat="1" applyFont="1" applyBorder="1" applyAlignment="1">
      <alignment horizontal="center"/>
    </xf>
    <xf numFmtId="172" fontId="21" fillId="0" borderId="15" xfId="15" applyNumberFormat="1" applyFont="1" applyBorder="1" applyAlignment="1">
      <alignment/>
    </xf>
    <xf numFmtId="172" fontId="20" fillId="0" borderId="15" xfId="15" applyNumberFormat="1" applyFont="1" applyBorder="1" applyAlignment="1">
      <alignment/>
    </xf>
    <xf numFmtId="172" fontId="21" fillId="0" borderId="9" xfId="15" applyNumberFormat="1" applyFont="1" applyBorder="1" applyAlignment="1">
      <alignment/>
    </xf>
    <xf numFmtId="172" fontId="20" fillId="0" borderId="0" xfId="15" applyNumberFormat="1" applyFont="1" applyBorder="1" applyAlignment="1">
      <alignment/>
    </xf>
    <xf numFmtId="172" fontId="20" fillId="0" borderId="9" xfId="15" applyNumberFormat="1" applyFont="1" applyBorder="1" applyAlignment="1">
      <alignment/>
    </xf>
    <xf numFmtId="172" fontId="20" fillId="0" borderId="4" xfId="15" applyNumberFormat="1" applyFont="1" applyBorder="1" applyAlignment="1">
      <alignment horizontal="center"/>
    </xf>
    <xf numFmtId="172" fontId="20" fillId="0" borderId="11" xfId="15" applyNumberFormat="1" applyFont="1" applyBorder="1" applyAlignment="1">
      <alignment horizontal="center"/>
    </xf>
    <xf numFmtId="172" fontId="20" fillId="0" borderId="5" xfId="15" applyNumberFormat="1" applyFont="1" applyBorder="1" applyAlignment="1">
      <alignment/>
    </xf>
    <xf numFmtId="172" fontId="20" fillId="0" borderId="1" xfId="15" applyNumberFormat="1" applyFont="1" applyBorder="1" applyAlignment="1">
      <alignment horizontal="center"/>
    </xf>
    <xf numFmtId="172" fontId="20" fillId="0" borderId="18" xfId="15" applyNumberFormat="1" applyFont="1" applyBorder="1" applyAlignment="1">
      <alignment/>
    </xf>
    <xf numFmtId="172" fontId="20" fillId="0" borderId="0" xfId="15" applyNumberFormat="1" applyFont="1" applyAlignment="1">
      <alignment horizontal="center"/>
    </xf>
    <xf numFmtId="172" fontId="20" fillId="0" borderId="0" xfId="15" applyNumberFormat="1" applyFont="1" applyAlignment="1">
      <alignment/>
    </xf>
    <xf numFmtId="172" fontId="21" fillId="0" borderId="0" xfId="15" applyNumberFormat="1" applyFont="1" applyAlignment="1">
      <alignment/>
    </xf>
    <xf numFmtId="172" fontId="21" fillId="0" borderId="0" xfId="15" applyNumberFormat="1" applyFont="1" applyAlignment="1">
      <alignment/>
    </xf>
    <xf numFmtId="172" fontId="22" fillId="0" borderId="0" xfId="15" applyNumberFormat="1" applyFont="1" applyAlignment="1">
      <alignment horizontal="center" vertical="center"/>
    </xf>
    <xf numFmtId="172" fontId="21" fillId="0" borderId="11" xfId="15" applyNumberFormat="1" applyFont="1" applyBorder="1" applyAlignment="1">
      <alignment horizontal="center"/>
    </xf>
    <xf numFmtId="172" fontId="21" fillId="0" borderId="17" xfId="15" applyNumberFormat="1" applyFont="1" applyBorder="1" applyAlignment="1">
      <alignment horizontal="center"/>
    </xf>
    <xf numFmtId="172" fontId="21" fillId="0" borderId="4" xfId="15" applyNumberFormat="1" applyFont="1" applyBorder="1" applyAlignment="1">
      <alignment horizontal="center"/>
    </xf>
    <xf numFmtId="172" fontId="21" fillId="0" borderId="1" xfId="15" applyNumberFormat="1" applyFont="1" applyBorder="1" applyAlignment="1">
      <alignment horizontal="center"/>
    </xf>
    <xf numFmtId="172" fontId="23" fillId="0" borderId="0" xfId="15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7</xdr:row>
      <xdr:rowOff>114300</xdr:rowOff>
    </xdr:from>
    <xdr:to>
      <xdr:col>1</xdr:col>
      <xdr:colOff>352425</xdr:colOff>
      <xdr:row>13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200150" y="18954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9</xdr:row>
      <xdr:rowOff>0</xdr:rowOff>
    </xdr:from>
    <xdr:to>
      <xdr:col>3</xdr:col>
      <xdr:colOff>95250</xdr:colOff>
      <xdr:row>16</xdr:row>
      <xdr:rowOff>95250</xdr:rowOff>
    </xdr:to>
    <xdr:sp>
      <xdr:nvSpPr>
        <xdr:cNvPr id="2" name="Line 2"/>
        <xdr:cNvSpPr>
          <a:spLocks/>
        </xdr:cNvSpPr>
      </xdr:nvSpPr>
      <xdr:spPr>
        <a:xfrm>
          <a:off x="2152650" y="204787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7</xdr:row>
      <xdr:rowOff>114300</xdr:rowOff>
    </xdr:from>
    <xdr:to>
      <xdr:col>1</xdr:col>
      <xdr:colOff>352425</xdr:colOff>
      <xdr:row>13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219200" y="18669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9</xdr:row>
      <xdr:rowOff>0</xdr:rowOff>
    </xdr:from>
    <xdr:to>
      <xdr:col>3</xdr:col>
      <xdr:colOff>95250</xdr:colOff>
      <xdr:row>16</xdr:row>
      <xdr:rowOff>95250</xdr:rowOff>
    </xdr:to>
    <xdr:sp>
      <xdr:nvSpPr>
        <xdr:cNvPr id="2" name="Line 2"/>
        <xdr:cNvSpPr>
          <a:spLocks/>
        </xdr:cNvSpPr>
      </xdr:nvSpPr>
      <xdr:spPr>
        <a:xfrm>
          <a:off x="2219325" y="201930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10</xdr:row>
      <xdr:rowOff>0</xdr:rowOff>
    </xdr:from>
    <xdr:to>
      <xdr:col>1</xdr:col>
      <xdr:colOff>352425</xdr:colOff>
      <xdr:row>13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304925" y="21240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1</xdr:col>
      <xdr:colOff>57150</xdr:colOff>
      <xdr:row>24</xdr:row>
      <xdr:rowOff>161925</xdr:rowOff>
    </xdr:to>
    <xdr:sp>
      <xdr:nvSpPr>
        <xdr:cNvPr id="1" name="AutoShape 5"/>
        <xdr:cNvSpPr>
          <a:spLocks/>
        </xdr:cNvSpPr>
      </xdr:nvSpPr>
      <xdr:spPr>
        <a:xfrm>
          <a:off x="0" y="3876675"/>
          <a:ext cx="1133475" cy="323850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947'465</a:t>
          </a:r>
        </a:p>
      </xdr:txBody>
    </xdr:sp>
    <xdr:clientData/>
  </xdr:twoCellAnchor>
  <xdr:twoCellAnchor>
    <xdr:from>
      <xdr:col>3</xdr:col>
      <xdr:colOff>638175</xdr:colOff>
      <xdr:row>27</xdr:row>
      <xdr:rowOff>9525</xdr:rowOff>
    </xdr:from>
    <xdr:to>
      <xdr:col>4</xdr:col>
      <xdr:colOff>752475</xdr:colOff>
      <xdr:row>28</xdr:row>
      <xdr:rowOff>161925</xdr:rowOff>
    </xdr:to>
    <xdr:sp>
      <xdr:nvSpPr>
        <xdr:cNvPr id="2" name="AutoShape 6"/>
        <xdr:cNvSpPr>
          <a:spLocks/>
        </xdr:cNvSpPr>
      </xdr:nvSpPr>
      <xdr:spPr>
        <a:xfrm>
          <a:off x="3552825" y="4533900"/>
          <a:ext cx="1095375" cy="314325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inclus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piles   CH= 13'059</a:t>
          </a:r>
        </a:p>
      </xdr:txBody>
    </xdr:sp>
    <xdr:clientData/>
  </xdr:twoCellAnchor>
  <xdr:twoCellAnchor>
    <xdr:from>
      <xdr:col>2</xdr:col>
      <xdr:colOff>828675</xdr:colOff>
      <xdr:row>23</xdr:row>
      <xdr:rowOff>9525</xdr:rowOff>
    </xdr:from>
    <xdr:to>
      <xdr:col>3</xdr:col>
      <xdr:colOff>904875</xdr:colOff>
      <xdr:row>24</xdr:row>
      <xdr:rowOff>161925</xdr:rowOff>
    </xdr:to>
    <xdr:sp>
      <xdr:nvSpPr>
        <xdr:cNvPr id="3" name="AutoShape 7"/>
        <xdr:cNvSpPr>
          <a:spLocks/>
        </xdr:cNvSpPr>
      </xdr:nvSpPr>
      <xdr:spPr>
        <a:xfrm>
          <a:off x="2819400" y="3886200"/>
          <a:ext cx="1000125" cy="314325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4'928</a:t>
          </a:r>
        </a:p>
      </xdr:txBody>
    </xdr:sp>
    <xdr:clientData/>
  </xdr:twoCellAnchor>
  <xdr:twoCellAnchor>
    <xdr:from>
      <xdr:col>4</xdr:col>
      <xdr:colOff>57150</xdr:colOff>
      <xdr:row>23</xdr:row>
      <xdr:rowOff>9525</xdr:rowOff>
    </xdr:from>
    <xdr:to>
      <xdr:col>5</xdr:col>
      <xdr:colOff>352425</xdr:colOff>
      <xdr:row>24</xdr:row>
      <xdr:rowOff>161925</xdr:rowOff>
    </xdr:to>
    <xdr:sp>
      <xdr:nvSpPr>
        <xdr:cNvPr id="4" name="AutoShape 8"/>
        <xdr:cNvSpPr>
          <a:spLocks/>
        </xdr:cNvSpPr>
      </xdr:nvSpPr>
      <xdr:spPr>
        <a:xfrm>
          <a:off x="3952875" y="3886200"/>
          <a:ext cx="1181100" cy="314325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7'807</a:t>
          </a:r>
        </a:p>
      </xdr:txBody>
    </xdr:sp>
    <xdr:clientData/>
  </xdr:twoCellAnchor>
  <xdr:twoCellAnchor>
    <xdr:from>
      <xdr:col>2</xdr:col>
      <xdr:colOff>133350</xdr:colOff>
      <xdr:row>27</xdr:row>
      <xdr:rowOff>9525</xdr:rowOff>
    </xdr:from>
    <xdr:to>
      <xdr:col>3</xdr:col>
      <xdr:colOff>552450</xdr:colOff>
      <xdr:row>31</xdr:row>
      <xdr:rowOff>66675</xdr:rowOff>
    </xdr:to>
    <xdr:sp>
      <xdr:nvSpPr>
        <xdr:cNvPr id="5" name="AutoShape 9"/>
        <xdr:cNvSpPr>
          <a:spLocks/>
        </xdr:cNvSpPr>
      </xdr:nvSpPr>
      <xdr:spPr>
        <a:xfrm>
          <a:off x="2124075" y="4533900"/>
          <a:ext cx="1343025" cy="704850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inclus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piles Vpz= 152'766 mai 98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Cumul Vpz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:mars =764'825 + mai
Total =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917'591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1</xdr:col>
      <xdr:colOff>371475</xdr:colOff>
      <xdr:row>23</xdr:row>
      <xdr:rowOff>0</xdr:rowOff>
    </xdr:from>
    <xdr:to>
      <xdr:col>2</xdr:col>
      <xdr:colOff>485775</xdr:colOff>
      <xdr:row>24</xdr:row>
      <xdr:rowOff>161925</xdr:rowOff>
    </xdr:to>
    <xdr:sp>
      <xdr:nvSpPr>
        <xdr:cNvPr id="6" name="AutoShape 10"/>
        <xdr:cNvSpPr>
          <a:spLocks/>
        </xdr:cNvSpPr>
      </xdr:nvSpPr>
      <xdr:spPr>
        <a:xfrm>
          <a:off x="1447800" y="3876675"/>
          <a:ext cx="1028700" cy="323850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171'767</a:t>
          </a:r>
        </a:p>
      </xdr:txBody>
    </xdr:sp>
    <xdr:clientData/>
  </xdr:twoCellAnchor>
  <xdr:twoCellAnchor>
    <xdr:from>
      <xdr:col>5</xdr:col>
      <xdr:colOff>752475</xdr:colOff>
      <xdr:row>22</xdr:row>
      <xdr:rowOff>161925</xdr:rowOff>
    </xdr:from>
    <xdr:to>
      <xdr:col>6</xdr:col>
      <xdr:colOff>866775</xdr:colOff>
      <xdr:row>24</xdr:row>
      <xdr:rowOff>152400</xdr:rowOff>
    </xdr:to>
    <xdr:sp>
      <xdr:nvSpPr>
        <xdr:cNvPr id="7" name="AutoShape 11"/>
        <xdr:cNvSpPr>
          <a:spLocks/>
        </xdr:cNvSpPr>
      </xdr:nvSpPr>
      <xdr:spPr>
        <a:xfrm>
          <a:off x="5534025" y="3876675"/>
          <a:ext cx="990600" cy="314325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184'502</a:t>
          </a:r>
        </a:p>
      </xdr:txBody>
    </xdr:sp>
    <xdr:clientData/>
  </xdr:twoCellAnchor>
  <xdr:twoCellAnchor>
    <xdr:from>
      <xdr:col>7</xdr:col>
      <xdr:colOff>352425</xdr:colOff>
      <xdr:row>28</xdr:row>
      <xdr:rowOff>0</xdr:rowOff>
    </xdr:from>
    <xdr:to>
      <xdr:col>8</xdr:col>
      <xdr:colOff>409575</xdr:colOff>
      <xdr:row>29</xdr:row>
      <xdr:rowOff>152400</xdr:rowOff>
    </xdr:to>
    <xdr:sp>
      <xdr:nvSpPr>
        <xdr:cNvPr id="8" name="AutoShape 12"/>
        <xdr:cNvSpPr>
          <a:spLocks/>
        </xdr:cNvSpPr>
      </xdr:nvSpPr>
      <xdr:spPr>
        <a:xfrm>
          <a:off x="7172325" y="4686300"/>
          <a:ext cx="990600" cy="314325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15'000</a:t>
          </a:r>
        </a:p>
      </xdr:txBody>
    </xdr:sp>
    <xdr:clientData/>
  </xdr:twoCellAnchor>
  <xdr:twoCellAnchor>
    <xdr:from>
      <xdr:col>0</xdr:col>
      <xdr:colOff>714375</xdr:colOff>
      <xdr:row>27</xdr:row>
      <xdr:rowOff>9525</xdr:rowOff>
    </xdr:from>
    <xdr:to>
      <xdr:col>1</xdr:col>
      <xdr:colOff>781050</xdr:colOff>
      <xdr:row>28</xdr:row>
      <xdr:rowOff>161925</xdr:rowOff>
    </xdr:to>
    <xdr:sp>
      <xdr:nvSpPr>
        <xdr:cNvPr id="9" name="AutoShape 13"/>
        <xdr:cNvSpPr>
          <a:spLocks/>
        </xdr:cNvSpPr>
      </xdr:nvSpPr>
      <xdr:spPr>
        <a:xfrm>
          <a:off x="714375" y="4533900"/>
          <a:ext cx="1143000" cy="314325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inclus: SIRA
=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5'942</a:t>
          </a:r>
        </a:p>
      </xdr:txBody>
    </xdr:sp>
    <xdr:clientData/>
  </xdr:twoCellAnchor>
  <xdr:twoCellAnchor>
    <xdr:from>
      <xdr:col>6</xdr:col>
      <xdr:colOff>152400</xdr:colOff>
      <xdr:row>31</xdr:row>
      <xdr:rowOff>152400</xdr:rowOff>
    </xdr:from>
    <xdr:to>
      <xdr:col>8</xdr:col>
      <xdr:colOff>171450</xdr:colOff>
      <xdr:row>33</xdr:row>
      <xdr:rowOff>142875</xdr:rowOff>
    </xdr:to>
    <xdr:sp>
      <xdr:nvSpPr>
        <xdr:cNvPr id="10" name="AutoShape 14"/>
        <xdr:cNvSpPr>
          <a:spLocks/>
        </xdr:cNvSpPr>
      </xdr:nvSpPr>
      <xdr:spPr>
        <a:xfrm>
          <a:off x="5810250" y="5324475"/>
          <a:ext cx="2114550" cy="314325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1'116'967
</a:t>
          </a:r>
        </a:p>
      </xdr:txBody>
    </xdr:sp>
    <xdr:clientData/>
  </xdr:twoCellAnchor>
  <xdr:twoCellAnchor>
    <xdr:from>
      <xdr:col>5</xdr:col>
      <xdr:colOff>847725</xdr:colOff>
      <xdr:row>30</xdr:row>
      <xdr:rowOff>19050</xdr:rowOff>
    </xdr:from>
    <xdr:to>
      <xdr:col>8</xdr:col>
      <xdr:colOff>314325</xdr:colOff>
      <xdr:row>31</xdr:row>
      <xdr:rowOff>38100</xdr:rowOff>
    </xdr:to>
    <xdr:sp>
      <xdr:nvSpPr>
        <xdr:cNvPr id="11" name="Rectangle 15"/>
        <xdr:cNvSpPr>
          <a:spLocks/>
        </xdr:cNvSpPr>
      </xdr:nvSpPr>
      <xdr:spPr>
        <a:xfrm>
          <a:off x="5629275" y="5029200"/>
          <a:ext cx="2438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Produit de l'exercice net au 30/05/98</a:t>
          </a:r>
        </a:p>
      </xdr:txBody>
    </xdr:sp>
    <xdr:clientData/>
  </xdr:twoCellAnchor>
  <xdr:twoCellAnchor>
    <xdr:from>
      <xdr:col>7</xdr:col>
      <xdr:colOff>333375</xdr:colOff>
      <xdr:row>25</xdr:row>
      <xdr:rowOff>0</xdr:rowOff>
    </xdr:from>
    <xdr:to>
      <xdr:col>8</xdr:col>
      <xdr:colOff>390525</xdr:colOff>
      <xdr:row>26</xdr:row>
      <xdr:rowOff>152400</xdr:rowOff>
    </xdr:to>
    <xdr:sp>
      <xdr:nvSpPr>
        <xdr:cNvPr id="12" name="AutoShape 17"/>
        <xdr:cNvSpPr>
          <a:spLocks/>
        </xdr:cNvSpPr>
      </xdr:nvSpPr>
      <xdr:spPr>
        <a:xfrm>
          <a:off x="7153275" y="4200525"/>
          <a:ext cx="990600" cy="314325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1'131'967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581025</xdr:colOff>
      <xdr:row>7</xdr:row>
      <xdr:rowOff>0</xdr:rowOff>
    </xdr:from>
    <xdr:to>
      <xdr:col>9</xdr:col>
      <xdr:colOff>247650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5534025" y="12477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8</xdr:row>
      <xdr:rowOff>0</xdr:rowOff>
    </xdr:from>
    <xdr:to>
      <xdr:col>9</xdr:col>
      <xdr:colOff>247650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5534025" y="13906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9</xdr:col>
      <xdr:colOff>247650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5534025" y="15335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12</xdr:row>
      <xdr:rowOff>0</xdr:rowOff>
    </xdr:from>
    <xdr:to>
      <xdr:col>8</xdr:col>
      <xdr:colOff>171450</xdr:colOff>
      <xdr:row>14</xdr:row>
      <xdr:rowOff>76200</xdr:rowOff>
    </xdr:to>
    <xdr:sp>
      <xdr:nvSpPr>
        <xdr:cNvPr id="1" name="Line 4"/>
        <xdr:cNvSpPr>
          <a:spLocks/>
        </xdr:cNvSpPr>
      </xdr:nvSpPr>
      <xdr:spPr>
        <a:xfrm>
          <a:off x="4933950" y="16192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66675</xdr:rowOff>
    </xdr:from>
    <xdr:to>
      <xdr:col>19</xdr:col>
      <xdr:colOff>85725</xdr:colOff>
      <xdr:row>1</xdr:row>
      <xdr:rowOff>66675</xdr:rowOff>
    </xdr:to>
    <xdr:sp>
      <xdr:nvSpPr>
        <xdr:cNvPr id="1" name="Line 45"/>
        <xdr:cNvSpPr>
          <a:spLocks/>
        </xdr:cNvSpPr>
      </xdr:nvSpPr>
      <xdr:spPr>
        <a:xfrm>
          <a:off x="1638300" y="190500"/>
          <a:ext cx="5191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47625</xdr:rowOff>
    </xdr:from>
    <xdr:to>
      <xdr:col>19</xdr:col>
      <xdr:colOff>95250</xdr:colOff>
      <xdr:row>2</xdr:row>
      <xdr:rowOff>47625</xdr:rowOff>
    </xdr:to>
    <xdr:sp>
      <xdr:nvSpPr>
        <xdr:cNvPr id="2" name="Line 50"/>
        <xdr:cNvSpPr>
          <a:spLocks/>
        </xdr:cNvSpPr>
      </xdr:nvSpPr>
      <xdr:spPr>
        <a:xfrm>
          <a:off x="1647825" y="295275"/>
          <a:ext cx="5191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12</xdr:row>
      <xdr:rowOff>95250</xdr:rowOff>
    </xdr:from>
    <xdr:to>
      <xdr:col>19</xdr:col>
      <xdr:colOff>66675</xdr:colOff>
      <xdr:row>12</xdr:row>
      <xdr:rowOff>95250</xdr:rowOff>
    </xdr:to>
    <xdr:sp>
      <xdr:nvSpPr>
        <xdr:cNvPr id="3" name="Line 51"/>
        <xdr:cNvSpPr>
          <a:spLocks/>
        </xdr:cNvSpPr>
      </xdr:nvSpPr>
      <xdr:spPr>
        <a:xfrm>
          <a:off x="1619250" y="1581150"/>
          <a:ext cx="5191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76200</xdr:rowOff>
    </xdr:from>
    <xdr:to>
      <xdr:col>19</xdr:col>
      <xdr:colOff>57150</xdr:colOff>
      <xdr:row>13</xdr:row>
      <xdr:rowOff>76200</xdr:rowOff>
    </xdr:to>
    <xdr:sp>
      <xdr:nvSpPr>
        <xdr:cNvPr id="4" name="Line 52"/>
        <xdr:cNvSpPr>
          <a:spLocks/>
        </xdr:cNvSpPr>
      </xdr:nvSpPr>
      <xdr:spPr>
        <a:xfrm>
          <a:off x="1609725" y="1685925"/>
          <a:ext cx="5191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60</xdr:row>
      <xdr:rowOff>66675</xdr:rowOff>
    </xdr:from>
    <xdr:to>
      <xdr:col>6</xdr:col>
      <xdr:colOff>9525</xdr:colOff>
      <xdr:row>61</xdr:row>
      <xdr:rowOff>9525</xdr:rowOff>
    </xdr:to>
    <xdr:sp>
      <xdr:nvSpPr>
        <xdr:cNvPr id="5" name="Line 56"/>
        <xdr:cNvSpPr>
          <a:spLocks/>
        </xdr:cNvSpPr>
      </xdr:nvSpPr>
      <xdr:spPr>
        <a:xfrm flipV="1">
          <a:off x="2143125" y="7496175"/>
          <a:ext cx="2476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U40"/>
  <sheetViews>
    <sheetView workbookViewId="0" topLeftCell="A1">
      <selection activeCell="G14" sqref="G14"/>
    </sheetView>
  </sheetViews>
  <sheetFormatPr defaultColWidth="11.421875" defaultRowHeight="12.75"/>
  <cols>
    <col min="1" max="1" width="12.7109375" style="101" customWidth="1"/>
    <col min="2" max="2" width="10.28125" style="101" customWidth="1"/>
    <col min="3" max="3" width="7.8515625" style="101" customWidth="1"/>
    <col min="4" max="4" width="3.8515625" style="101" customWidth="1"/>
    <col min="5" max="5" width="3.00390625" style="101" customWidth="1"/>
    <col min="6" max="6" width="4.57421875" style="101" customWidth="1"/>
    <col min="7" max="7" width="5.57421875" style="101" customWidth="1"/>
    <col min="8" max="8" width="5.140625" style="101" customWidth="1"/>
    <col min="9" max="9" width="6.00390625" style="101" customWidth="1"/>
    <col min="10" max="10" width="5.421875" style="101" customWidth="1"/>
    <col min="11" max="11" width="4.8515625" style="101" customWidth="1"/>
    <col min="12" max="12" width="5.00390625" style="101" customWidth="1"/>
    <col min="13" max="13" width="5.421875" style="101" customWidth="1"/>
    <col min="14" max="14" width="5.00390625" style="101" customWidth="1"/>
    <col min="15" max="15" width="5.7109375" style="101" customWidth="1"/>
    <col min="16" max="16" width="5.57421875" style="101" customWidth="1"/>
    <col min="17" max="17" width="5.140625" style="101" customWidth="1"/>
    <col min="18" max="18" width="5.421875" style="101" customWidth="1"/>
    <col min="19" max="19" width="5.140625" style="101" customWidth="1"/>
    <col min="20" max="20" width="5.28125" style="101" customWidth="1"/>
    <col min="21" max="21" width="10.00390625" style="101" customWidth="1"/>
    <col min="22" max="22" width="5.28125" style="101" customWidth="1"/>
    <col min="23" max="23" width="5.00390625" style="101" customWidth="1"/>
    <col min="24" max="24" width="6.421875" style="101" customWidth="1"/>
    <col min="25" max="16384" width="20.57421875" style="101" customWidth="1"/>
  </cols>
  <sheetData>
    <row r="1" spans="1:16" ht="43.5" customHeight="1">
      <c r="A1" s="95" t="s">
        <v>298</v>
      </c>
      <c r="B1" s="96" t="s">
        <v>342</v>
      </c>
      <c r="C1" s="97">
        <f ca="1">TODAY()</f>
        <v>35949</v>
      </c>
      <c r="D1" s="98"/>
      <c r="E1" s="98"/>
      <c r="F1" s="97"/>
      <c r="G1" s="99"/>
      <c r="H1" s="100" t="s">
        <v>300</v>
      </c>
      <c r="I1" s="100"/>
      <c r="L1" s="102"/>
      <c r="M1" s="102"/>
      <c r="O1" s="99" t="s">
        <v>125</v>
      </c>
      <c r="P1" s="99"/>
    </row>
    <row r="2" spans="1:21" ht="44.25" customHeight="1">
      <c r="A2" s="103" t="s">
        <v>341</v>
      </c>
      <c r="B2" s="104" t="s">
        <v>340</v>
      </c>
      <c r="C2" s="105" t="s">
        <v>303</v>
      </c>
      <c r="D2" s="265" t="s">
        <v>344</v>
      </c>
      <c r="E2" s="265"/>
      <c r="F2" s="106" t="s">
        <v>305</v>
      </c>
      <c r="G2" s="106" t="s">
        <v>306</v>
      </c>
      <c r="H2" s="106" t="s">
        <v>307</v>
      </c>
      <c r="I2" s="106" t="s">
        <v>338</v>
      </c>
      <c r="J2" s="106" t="s">
        <v>95</v>
      </c>
      <c r="K2" s="106" t="s">
        <v>96</v>
      </c>
      <c r="L2" s="107" t="s">
        <v>308</v>
      </c>
      <c r="M2" s="106" t="s">
        <v>309</v>
      </c>
      <c r="N2" s="106" t="s">
        <v>310</v>
      </c>
      <c r="O2" s="106" t="s">
        <v>311</v>
      </c>
      <c r="P2" s="106" t="s">
        <v>312</v>
      </c>
      <c r="Q2" s="106" t="s">
        <v>343</v>
      </c>
      <c r="R2" s="106" t="s">
        <v>314</v>
      </c>
      <c r="S2" s="108" t="s">
        <v>105</v>
      </c>
      <c r="T2" s="106" t="s">
        <v>315</v>
      </c>
      <c r="U2" s="109" t="s">
        <v>176</v>
      </c>
    </row>
    <row r="3" spans="1:21" ht="10.5" customHeight="1">
      <c r="A3" s="110" t="s">
        <v>337</v>
      </c>
      <c r="C3" s="111">
        <v>35796</v>
      </c>
      <c r="D3" s="266">
        <v>9311</v>
      </c>
      <c r="E3" s="266"/>
      <c r="F3" s="112">
        <v>0</v>
      </c>
      <c r="G3" s="112">
        <v>340</v>
      </c>
      <c r="H3" s="112">
        <v>200</v>
      </c>
      <c r="I3" s="112">
        <v>0</v>
      </c>
      <c r="J3" s="112">
        <v>180</v>
      </c>
      <c r="K3" s="112">
        <v>10</v>
      </c>
      <c r="L3" s="113">
        <v>400</v>
      </c>
      <c r="M3" s="112">
        <v>400</v>
      </c>
      <c r="N3" s="112">
        <v>40</v>
      </c>
      <c r="O3" s="112">
        <v>300</v>
      </c>
      <c r="P3" s="112">
        <v>40</v>
      </c>
      <c r="Q3" s="112">
        <v>200</v>
      </c>
      <c r="R3" s="112">
        <v>0</v>
      </c>
      <c r="S3" s="112">
        <v>20</v>
      </c>
      <c r="T3" s="112">
        <v>120</v>
      </c>
      <c r="U3" s="114">
        <f>SUM(G3:T3)</f>
        <v>2250</v>
      </c>
    </row>
    <row r="4" spans="1:21" ht="10.5" customHeight="1">
      <c r="A4" s="115">
        <v>35796</v>
      </c>
      <c r="B4" s="116">
        <v>28804</v>
      </c>
      <c r="C4" s="117"/>
      <c r="D4" s="117"/>
      <c r="F4" s="118">
        <f>F3/D3</f>
        <v>0</v>
      </c>
      <c r="G4" s="119">
        <f>G3/D3</f>
        <v>0.036515948877671574</v>
      </c>
      <c r="H4" s="169">
        <f>H3/D3</f>
        <v>0.0214799699280421</v>
      </c>
      <c r="I4" s="169">
        <f>I3/D3</f>
        <v>0</v>
      </c>
      <c r="J4" s="120">
        <f>J3/D3</f>
        <v>0.01933197293523789</v>
      </c>
      <c r="K4" s="120">
        <f>K3/D3</f>
        <v>0.001073998496402105</v>
      </c>
      <c r="L4" s="120">
        <f>L3/D3</f>
        <v>0.0429599398560842</v>
      </c>
      <c r="M4" s="120">
        <f>M3/D3</f>
        <v>0.0429599398560842</v>
      </c>
      <c r="N4" s="169">
        <f>N3/D3</f>
        <v>0.00429599398560842</v>
      </c>
      <c r="O4" s="121">
        <f>O3/D3</f>
        <v>0.032219954892063155</v>
      </c>
      <c r="P4" s="121">
        <f>P3/D3</f>
        <v>0.00429599398560842</v>
      </c>
      <c r="Q4" s="120">
        <f>Q3/D3</f>
        <v>0.0214799699280421</v>
      </c>
      <c r="R4" s="120">
        <f>R3/D3</f>
        <v>0</v>
      </c>
      <c r="S4" s="120">
        <f>S3/D3</f>
        <v>0.00214799699280421</v>
      </c>
      <c r="T4" s="120">
        <f>T3/D3</f>
        <v>0.012887981956825261</v>
      </c>
      <c r="U4" s="122">
        <f>U3/D3</f>
        <v>0.24164966169047364</v>
      </c>
    </row>
    <row r="5" spans="1:21" ht="10.5" customHeight="1">
      <c r="A5" s="123">
        <v>35827</v>
      </c>
      <c r="B5" s="124">
        <v>17369</v>
      </c>
      <c r="C5" s="128">
        <v>35827</v>
      </c>
      <c r="D5" s="266">
        <v>27973</v>
      </c>
      <c r="E5" s="267"/>
      <c r="F5" s="126">
        <v>0</v>
      </c>
      <c r="G5" s="126">
        <v>800</v>
      </c>
      <c r="H5" s="112">
        <v>300</v>
      </c>
      <c r="I5" s="112">
        <v>0</v>
      </c>
      <c r="J5" s="112">
        <v>100</v>
      </c>
      <c r="K5" s="112">
        <v>10</v>
      </c>
      <c r="L5" s="113">
        <v>800</v>
      </c>
      <c r="M5" s="112">
        <v>900</v>
      </c>
      <c r="N5" s="112">
        <v>100</v>
      </c>
      <c r="O5" s="112">
        <v>800</v>
      </c>
      <c r="P5" s="112">
        <v>10</v>
      </c>
      <c r="Q5" s="112">
        <v>400</v>
      </c>
      <c r="R5" s="112">
        <v>0</v>
      </c>
      <c r="S5" s="112">
        <v>60</v>
      </c>
      <c r="T5" s="112">
        <v>300</v>
      </c>
      <c r="U5" s="114">
        <f>SUM(F5:T5)</f>
        <v>4580</v>
      </c>
    </row>
    <row r="6" spans="1:21" ht="10.5" customHeight="1">
      <c r="A6" s="123">
        <v>35855</v>
      </c>
      <c r="B6" s="124">
        <v>5531</v>
      </c>
      <c r="C6" s="124"/>
      <c r="D6" s="127"/>
      <c r="E6" s="117"/>
      <c r="F6" s="119">
        <f>F5/D5</f>
        <v>0</v>
      </c>
      <c r="G6" s="119">
        <f>G5/D5</f>
        <v>0.02859900618453509</v>
      </c>
      <c r="H6" s="120">
        <f>H5/D5</f>
        <v>0.010724627319200658</v>
      </c>
      <c r="I6" s="169">
        <f>I5/D5</f>
        <v>0</v>
      </c>
      <c r="J6" s="120">
        <f>J5/D5</f>
        <v>0.003574875773066886</v>
      </c>
      <c r="K6" s="120">
        <f>K5/D5</f>
        <v>0.0003574875773066886</v>
      </c>
      <c r="L6" s="120">
        <f>L5/D5</f>
        <v>0.02859900618453509</v>
      </c>
      <c r="M6" s="120">
        <f>M5/D5</f>
        <v>0.03217388195760197</v>
      </c>
      <c r="N6" s="117"/>
      <c r="O6" s="121">
        <f>O5/D5</f>
        <v>0.02859900618453509</v>
      </c>
      <c r="P6" s="117"/>
      <c r="Q6" s="120">
        <f>Q5/D5</f>
        <v>0.014299503092267544</v>
      </c>
      <c r="R6" s="120">
        <f>R5/D5</f>
        <v>0</v>
      </c>
      <c r="S6" s="120">
        <f>S5/D5</f>
        <v>0.0021449254638401315</v>
      </c>
      <c r="T6" s="120">
        <f>T5/D5</f>
        <v>0.010724627319200658</v>
      </c>
      <c r="U6" s="122">
        <f>U5/D5</f>
        <v>0.16372931040646338</v>
      </c>
    </row>
    <row r="7" spans="1:21" ht="10.5" customHeight="1">
      <c r="A7" s="123">
        <v>35886</v>
      </c>
      <c r="B7" s="124">
        <v>11685</v>
      </c>
      <c r="C7" s="128">
        <v>35855</v>
      </c>
      <c r="D7" s="268">
        <v>14420</v>
      </c>
      <c r="E7" s="268"/>
      <c r="F7" s="126">
        <v>0</v>
      </c>
      <c r="G7" s="126">
        <v>1800</v>
      </c>
      <c r="H7" s="129">
        <v>400</v>
      </c>
      <c r="I7" s="129">
        <v>0</v>
      </c>
      <c r="J7" s="112">
        <v>200</v>
      </c>
      <c r="K7" s="112">
        <v>10</v>
      </c>
      <c r="L7" s="112">
        <v>700</v>
      </c>
      <c r="M7" s="112">
        <v>800</v>
      </c>
      <c r="N7" s="112">
        <v>40</v>
      </c>
      <c r="O7" s="112">
        <v>1600</v>
      </c>
      <c r="P7" s="112">
        <v>30</v>
      </c>
      <c r="Q7" s="112">
        <v>300</v>
      </c>
      <c r="R7" s="112">
        <v>70</v>
      </c>
      <c r="S7" s="112">
        <v>60</v>
      </c>
      <c r="T7" s="112">
        <v>300</v>
      </c>
      <c r="U7" s="114">
        <f>SUM(F7:T7)</f>
        <v>6310</v>
      </c>
    </row>
    <row r="8" spans="1:21" ht="10.5" customHeight="1">
      <c r="A8" s="136">
        <v>35916</v>
      </c>
      <c r="B8" s="137">
        <v>0</v>
      </c>
      <c r="C8" s="124"/>
      <c r="D8" s="117"/>
      <c r="E8" s="117"/>
      <c r="F8" s="119">
        <f>F7/D7</f>
        <v>0</v>
      </c>
      <c r="G8" s="130">
        <f>G7/D7</f>
        <v>0.12482662968099861</v>
      </c>
      <c r="H8" s="130">
        <f>H7/D7</f>
        <v>0.027739251040221916</v>
      </c>
      <c r="I8" s="170">
        <f>I7/D7</f>
        <v>0</v>
      </c>
      <c r="J8" s="131">
        <f>J7/D7</f>
        <v>0.013869625520110958</v>
      </c>
      <c r="K8" s="131">
        <f>K7/D7</f>
        <v>0.0006934812760055479</v>
      </c>
      <c r="L8" s="131">
        <f>L7/D7</f>
        <v>0.04854368932038835</v>
      </c>
      <c r="M8" s="131">
        <f>M7/D7</f>
        <v>0.05547850208044383</v>
      </c>
      <c r="N8" s="131">
        <f>N7/D7</f>
        <v>0.0027739251040221915</v>
      </c>
      <c r="O8" s="131">
        <f>O7/D7</f>
        <v>0.11095700416088766</v>
      </c>
      <c r="P8" s="131">
        <f>P7/D7</f>
        <v>0.0020804438280166435</v>
      </c>
      <c r="Q8" s="131">
        <f>Q7/D7</f>
        <v>0.020804438280166437</v>
      </c>
      <c r="R8" s="131">
        <f>R7/D7</f>
        <v>0.0048543689320388345</v>
      </c>
      <c r="S8" s="131">
        <f>S7/D7</f>
        <v>0.004160887656033287</v>
      </c>
      <c r="T8" s="131">
        <f>T7/D7</f>
        <v>0.020804438280166437</v>
      </c>
      <c r="U8" s="132">
        <f>U7/D7</f>
        <v>0.4375866851595007</v>
      </c>
    </row>
    <row r="9" spans="2:21" s="135" customFormat="1" ht="10.5" customHeight="1">
      <c r="B9" s="124"/>
      <c r="C9" s="174">
        <v>35916</v>
      </c>
      <c r="D9" s="253">
        <v>16685</v>
      </c>
      <c r="E9" s="253"/>
      <c r="F9" s="133">
        <v>0</v>
      </c>
      <c r="G9" s="133">
        <v>778</v>
      </c>
      <c r="H9" s="133">
        <v>0</v>
      </c>
      <c r="I9" s="133">
        <v>0</v>
      </c>
      <c r="J9" s="133">
        <v>249</v>
      </c>
      <c r="K9" s="133">
        <v>0</v>
      </c>
      <c r="L9" s="133">
        <v>0</v>
      </c>
      <c r="M9" s="133">
        <v>0</v>
      </c>
      <c r="N9" s="133">
        <v>0</v>
      </c>
      <c r="O9" s="133">
        <v>518</v>
      </c>
      <c r="P9" s="133">
        <v>0</v>
      </c>
      <c r="Q9" s="133">
        <v>0</v>
      </c>
      <c r="R9" s="133">
        <v>0</v>
      </c>
      <c r="S9" s="133">
        <v>0</v>
      </c>
      <c r="T9" s="133">
        <v>41</v>
      </c>
      <c r="U9" s="134">
        <f>SUM(F9:T9)</f>
        <v>1586</v>
      </c>
    </row>
    <row r="10" spans="3:21" ht="10.5" customHeight="1">
      <c r="C10" s="124"/>
      <c r="D10" s="127"/>
      <c r="E10" s="138"/>
      <c r="F10" s="119">
        <f>F9/D9</f>
        <v>0</v>
      </c>
      <c r="G10" s="130">
        <f>G9/D9</f>
        <v>0.046628708420737186</v>
      </c>
      <c r="H10" s="130">
        <f>H9/D9</f>
        <v>0</v>
      </c>
      <c r="I10" s="170">
        <f>I9/D9</f>
        <v>0</v>
      </c>
      <c r="J10" s="131">
        <f>J9/D9</f>
        <v>0.01492358405753671</v>
      </c>
      <c r="K10" s="131">
        <f>K9/D9</f>
        <v>0</v>
      </c>
      <c r="L10" s="131">
        <f>L9/D9</f>
        <v>0</v>
      </c>
      <c r="M10" s="131">
        <f>M9/D9</f>
        <v>0</v>
      </c>
      <c r="N10" s="131">
        <f>N9/D9</f>
        <v>0</v>
      </c>
      <c r="O10" s="131">
        <f>O9/D9</f>
        <v>0.031045849565477974</v>
      </c>
      <c r="P10" s="131">
        <f>P9/D9</f>
        <v>0</v>
      </c>
      <c r="Q10" s="131">
        <f>Q9/D9</f>
        <v>0</v>
      </c>
      <c r="R10" s="131">
        <f>R9/D9</f>
        <v>0</v>
      </c>
      <c r="S10" s="131">
        <f>S9/D9</f>
        <v>0</v>
      </c>
      <c r="T10" s="131">
        <f>T9/D9</f>
        <v>0.0024572969733293376</v>
      </c>
      <c r="U10" s="132">
        <f>U9/D9</f>
        <v>0.09505543901708122</v>
      </c>
    </row>
    <row r="11" spans="1:21" ht="10.5" customHeight="1">
      <c r="A11" s="124"/>
      <c r="C11" s="123"/>
      <c r="D11" s="254"/>
      <c r="E11" s="254"/>
      <c r="F11" s="116"/>
      <c r="G11" s="116"/>
      <c r="H11" s="116"/>
      <c r="I11" s="116"/>
      <c r="J11" s="116"/>
      <c r="K11" s="116"/>
      <c r="L11" s="116"/>
      <c r="M11" s="116"/>
      <c r="N11" s="175"/>
      <c r="O11" s="116"/>
      <c r="P11" s="116"/>
      <c r="Q11" s="116"/>
      <c r="R11" s="116"/>
      <c r="S11" s="116"/>
      <c r="T11" s="116"/>
      <c r="U11" s="147"/>
    </row>
    <row r="12" spans="1:21" ht="10.5" customHeight="1">
      <c r="A12" s="124"/>
      <c r="B12" s="124"/>
      <c r="C12" s="124"/>
      <c r="D12" s="124"/>
      <c r="E12" s="116"/>
      <c r="F12" s="153"/>
      <c r="G12" s="176"/>
      <c r="H12" s="176"/>
      <c r="I12" s="177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8"/>
    </row>
    <row r="13" spans="4:21" ht="10.5" customHeight="1">
      <c r="D13" s="255"/>
      <c r="E13" s="255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24"/>
    </row>
    <row r="14" spans="3:21" ht="10.5" customHeight="1">
      <c r="C14" s="124"/>
      <c r="D14" s="124"/>
      <c r="E14" s="116"/>
      <c r="F14" s="153"/>
      <c r="G14" s="171"/>
      <c r="H14" s="171"/>
      <c r="I14" s="172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</row>
    <row r="15" spans="1:21" ht="10.5" customHeight="1">
      <c r="A15" s="134" t="s">
        <v>317</v>
      </c>
      <c r="B15" s="140">
        <f>SUM(B4:B9)</f>
        <v>63389</v>
      </c>
      <c r="F15" s="119"/>
      <c r="G15" s="130"/>
      <c r="H15" s="130"/>
      <c r="I15" s="130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</row>
    <row r="16" spans="1:21" ht="10.5" customHeight="1">
      <c r="A16" s="124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41"/>
    </row>
    <row r="17" spans="1:21" ht="10.5" customHeight="1">
      <c r="A17" s="124"/>
      <c r="B17" s="124"/>
      <c r="C17" s="124"/>
      <c r="D17" s="124"/>
      <c r="E17" s="142"/>
      <c r="F17" s="143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</row>
    <row r="18" spans="2:21" ht="10.5" customHeight="1">
      <c r="B18" s="144" t="s">
        <v>318</v>
      </c>
      <c r="C18" s="145"/>
      <c r="D18" s="263">
        <f>D3+D5+D7+D9</f>
        <v>68389</v>
      </c>
      <c r="E18" s="264"/>
      <c r="F18" s="124"/>
      <c r="G18" s="138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</row>
    <row r="19" spans="6:21" ht="10.5" customHeight="1">
      <c r="F19" s="146"/>
      <c r="G19" s="147" t="s">
        <v>319</v>
      </c>
      <c r="H19" s="148"/>
      <c r="I19" s="148"/>
      <c r="J19" s="146"/>
      <c r="K19" s="146"/>
      <c r="L19" s="149"/>
      <c r="M19" s="149"/>
      <c r="N19" s="150"/>
      <c r="O19" s="149"/>
      <c r="P19" s="150"/>
      <c r="Q19" s="149"/>
      <c r="R19" s="149"/>
      <c r="S19" s="149"/>
      <c r="T19" s="149"/>
      <c r="U19" s="124"/>
    </row>
    <row r="20" spans="1:21" ht="6" customHeight="1">
      <c r="A20" s="124"/>
      <c r="B20" s="151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</row>
    <row r="21" spans="1:21" ht="10.5" customHeight="1">
      <c r="A21" s="134" t="s">
        <v>320</v>
      </c>
      <c r="B21" s="151"/>
      <c r="C21" s="124"/>
      <c r="D21" s="124"/>
      <c r="E21" s="124"/>
      <c r="F21" s="258" t="s">
        <v>321</v>
      </c>
      <c r="G21" s="258" t="s">
        <v>322</v>
      </c>
      <c r="H21" s="258" t="s">
        <v>323</v>
      </c>
      <c r="I21" s="258" t="s">
        <v>345</v>
      </c>
      <c r="J21" s="258" t="s">
        <v>95</v>
      </c>
      <c r="K21" s="258" t="s">
        <v>96</v>
      </c>
      <c r="L21" s="258" t="s">
        <v>324</v>
      </c>
      <c r="M21" s="258" t="s">
        <v>325</v>
      </c>
      <c r="N21" s="258" t="s">
        <v>326</v>
      </c>
      <c r="O21" s="258" t="s">
        <v>100</v>
      </c>
      <c r="P21" s="258" t="s">
        <v>327</v>
      </c>
      <c r="Q21" s="258" t="s">
        <v>313</v>
      </c>
      <c r="R21" s="258" t="s">
        <v>328</v>
      </c>
      <c r="S21" s="258" t="s">
        <v>329</v>
      </c>
      <c r="T21" s="258" t="s">
        <v>330</v>
      </c>
      <c r="U21" s="124"/>
    </row>
    <row r="22" spans="1:21" ht="14.25" customHeight="1">
      <c r="A22" s="152" t="s">
        <v>331</v>
      </c>
      <c r="B22" s="140">
        <f>B15-D18</f>
        <v>-5000</v>
      </c>
      <c r="C22" s="124"/>
      <c r="D22" s="124"/>
      <c r="E22" s="124"/>
      <c r="F22" s="252"/>
      <c r="G22" s="260"/>
      <c r="H22" s="252"/>
      <c r="I22" s="262"/>
      <c r="J22" s="252"/>
      <c r="K22" s="252"/>
      <c r="L22" s="252"/>
      <c r="M22" s="252"/>
      <c r="N22" s="252"/>
      <c r="O22" s="252"/>
      <c r="P22" s="252"/>
      <c r="Q22" s="252"/>
      <c r="R22" s="252"/>
      <c r="S22" s="259"/>
      <c r="T22" s="260"/>
      <c r="U22" s="124"/>
    </row>
    <row r="23" spans="1:21" ht="10.5" customHeight="1">
      <c r="A23" s="151"/>
      <c r="B23" s="151"/>
      <c r="C23" s="124"/>
      <c r="D23" s="153"/>
      <c r="E23" s="124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24"/>
    </row>
    <row r="24" spans="1:21" ht="10.5" customHeight="1">
      <c r="A24" s="124"/>
      <c r="B24" s="124"/>
      <c r="C24" s="124"/>
      <c r="D24" s="124"/>
      <c r="E24" s="124"/>
      <c r="F24" s="3">
        <f aca="true" t="shared" si="0" ref="F24:U24">F3+F5+F7+F9+F11+F13</f>
        <v>0</v>
      </c>
      <c r="G24" s="124">
        <f t="shared" si="0"/>
        <v>3718</v>
      </c>
      <c r="H24" s="142">
        <f t="shared" si="0"/>
        <v>900</v>
      </c>
      <c r="I24" s="142">
        <f>I3+I5+I7+I9</f>
        <v>0</v>
      </c>
      <c r="J24" s="142">
        <f t="shared" si="0"/>
        <v>729</v>
      </c>
      <c r="K24" s="142">
        <f t="shared" si="0"/>
        <v>30</v>
      </c>
      <c r="L24" s="142">
        <f t="shared" si="0"/>
        <v>1900</v>
      </c>
      <c r="M24" s="142">
        <f t="shared" si="0"/>
        <v>2100</v>
      </c>
      <c r="N24" s="142">
        <f t="shared" si="0"/>
        <v>180</v>
      </c>
      <c r="O24" s="142">
        <f t="shared" si="0"/>
        <v>3218</v>
      </c>
      <c r="P24" s="142">
        <f>P3+P5+P7+P9+P11+Q13</f>
        <v>80</v>
      </c>
      <c r="Q24" s="142">
        <f>Q3+Q5+Q7+Q9+Q11+R13</f>
        <v>900</v>
      </c>
      <c r="R24" s="142">
        <f>R3+R5+R7+R9+R11+R13</f>
        <v>70</v>
      </c>
      <c r="S24" s="142">
        <f t="shared" si="0"/>
        <v>140</v>
      </c>
      <c r="T24" s="142">
        <f t="shared" si="0"/>
        <v>761</v>
      </c>
      <c r="U24" s="154">
        <f t="shared" si="0"/>
        <v>14726</v>
      </c>
    </row>
    <row r="25" spans="1:21" ht="10.5" customHeight="1">
      <c r="A25" s="151"/>
      <c r="B25" s="151"/>
      <c r="C25" s="124"/>
      <c r="D25" s="124"/>
      <c r="E25" s="124"/>
      <c r="F25" s="180">
        <f>F24/D18</f>
        <v>0</v>
      </c>
      <c r="G25" s="122">
        <f>G24/D18</f>
        <v>0.054365468130839756</v>
      </c>
      <c r="H25" s="122">
        <f>H24/D18</f>
        <v>0.013160011112898273</v>
      </c>
      <c r="I25" s="122">
        <f>I24/D18</f>
        <v>0</v>
      </c>
      <c r="J25" s="132">
        <f>J24/D18</f>
        <v>0.010659609001447601</v>
      </c>
      <c r="K25" s="179">
        <f>K24/D18</f>
        <v>0.0004386670370966091</v>
      </c>
      <c r="L25" s="132">
        <f>L24/D18</f>
        <v>0.027782245682785242</v>
      </c>
      <c r="M25" s="132">
        <f>M24/D18</f>
        <v>0.030706692596762637</v>
      </c>
      <c r="N25" s="132">
        <f>N24/D18</f>
        <v>0.002632002222579655</v>
      </c>
      <c r="O25" s="132">
        <f>O24/D18</f>
        <v>0.04705435084589627</v>
      </c>
      <c r="P25" s="132">
        <f>P24/D18</f>
        <v>0.0011697787655909576</v>
      </c>
      <c r="Q25" s="132">
        <f>Q24/D18</f>
        <v>0.013160011112898273</v>
      </c>
      <c r="R25" s="132">
        <f>R24/D18</f>
        <v>0.001023556419892088</v>
      </c>
      <c r="S25" s="132">
        <f>S24/D18</f>
        <v>0.002047112839784176</v>
      </c>
      <c r="T25" s="132">
        <f>T24/D18</f>
        <v>0.011127520507683984</v>
      </c>
      <c r="U25" s="132">
        <f>U24/D18</f>
        <v>0.21532702627615552</v>
      </c>
    </row>
    <row r="26" spans="1:16" ht="10.5" customHeight="1">
      <c r="A26" s="151"/>
      <c r="B26" s="151"/>
      <c r="C26" s="124"/>
      <c r="D26" s="124"/>
      <c r="E26" s="142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</row>
    <row r="27" spans="1:21" ht="10.5" customHeight="1">
      <c r="A27" s="186"/>
      <c r="B27" s="187"/>
      <c r="C27" s="188"/>
      <c r="D27" s="188"/>
      <c r="E27" s="188"/>
      <c r="F27" s="189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56" t="s">
        <v>332</v>
      </c>
      <c r="R27" s="117"/>
      <c r="S27" s="117"/>
      <c r="T27" s="261">
        <f>U3+U5+U7+U9+U11+U13</f>
        <v>14726</v>
      </c>
      <c r="U27" s="261"/>
    </row>
    <row r="28" spans="1:21" ht="10.5" customHeight="1">
      <c r="A28" s="191" t="s">
        <v>346</v>
      </c>
      <c r="B28" s="124"/>
      <c r="C28" s="124"/>
      <c r="D28" s="127"/>
      <c r="E28" s="127"/>
      <c r="F28" s="183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58"/>
      <c r="U28" s="158"/>
    </row>
    <row r="29" spans="1:21" ht="10.5" customHeight="1">
      <c r="A29" s="190"/>
      <c r="B29" s="151"/>
      <c r="C29" s="124"/>
      <c r="D29" s="127"/>
      <c r="E29" s="127"/>
      <c r="F29" s="183"/>
      <c r="G29" s="127"/>
      <c r="H29" s="127"/>
      <c r="I29" s="127"/>
      <c r="J29" s="127"/>
      <c r="K29" s="127"/>
      <c r="L29" s="127"/>
      <c r="M29" s="127"/>
      <c r="N29" s="127"/>
      <c r="O29" s="117"/>
      <c r="P29" s="138"/>
      <c r="Q29" s="4" t="s">
        <v>333</v>
      </c>
      <c r="R29" s="138"/>
      <c r="S29" s="138"/>
      <c r="T29" s="159"/>
      <c r="U29" s="157">
        <f>D3+D5+D7+D9+D11+D13</f>
        <v>68389</v>
      </c>
    </row>
    <row r="30" spans="1:21" ht="10.5" customHeight="1">
      <c r="A30" s="191" t="s">
        <v>347</v>
      </c>
      <c r="B30" s="124"/>
      <c r="C30" s="185">
        <v>140000</v>
      </c>
      <c r="D30" s="127"/>
      <c r="E30" s="127"/>
      <c r="F30" s="192"/>
      <c r="G30" s="127"/>
      <c r="H30" s="127"/>
      <c r="I30" s="127"/>
      <c r="J30" s="124"/>
      <c r="K30" s="124"/>
      <c r="L30" s="124"/>
      <c r="M30" s="119"/>
      <c r="N30" s="124"/>
      <c r="Q30" s="117"/>
      <c r="R30" s="117"/>
      <c r="S30" s="117"/>
      <c r="T30" s="117"/>
      <c r="U30" s="117"/>
    </row>
    <row r="31" spans="1:21" ht="10.5" customHeight="1">
      <c r="A31" s="190"/>
      <c r="B31" s="151"/>
      <c r="C31" s="124"/>
      <c r="D31" s="127"/>
      <c r="E31" s="127"/>
      <c r="F31" s="193"/>
      <c r="G31" s="181"/>
      <c r="H31" s="181"/>
      <c r="I31" s="181"/>
      <c r="J31" s="181"/>
      <c r="K31" s="181"/>
      <c r="L31" s="181"/>
      <c r="M31" s="181"/>
      <c r="N31" s="127"/>
      <c r="O31" s="117"/>
      <c r="P31" s="117"/>
      <c r="Q31" s="156" t="s">
        <v>334</v>
      </c>
      <c r="R31" s="117"/>
      <c r="S31" s="117"/>
      <c r="T31" s="117"/>
      <c r="U31" s="160">
        <f>T27/U29</f>
        <v>0.21532702627615552</v>
      </c>
    </row>
    <row r="32" spans="1:21" ht="10.5" customHeight="1">
      <c r="A32" s="200" t="s">
        <v>349</v>
      </c>
      <c r="B32" s="124"/>
      <c r="C32" s="198">
        <v>51000</v>
      </c>
      <c r="D32" s="127"/>
      <c r="E32" s="127"/>
      <c r="F32" s="195"/>
      <c r="G32" s="127"/>
      <c r="H32" s="135"/>
      <c r="I32" s="135"/>
      <c r="J32" s="135"/>
      <c r="K32" s="135"/>
      <c r="L32" s="127"/>
      <c r="M32" s="162"/>
      <c r="N32" s="127"/>
      <c r="P32" s="117"/>
      <c r="Q32" s="117"/>
      <c r="R32" s="117"/>
      <c r="S32" s="117"/>
      <c r="T32" s="117"/>
      <c r="U32" s="117"/>
    </row>
    <row r="33" spans="1:20" ht="10.5" customHeight="1">
      <c r="A33" s="194"/>
      <c r="B33" s="124"/>
      <c r="C33" s="163"/>
      <c r="D33" s="127"/>
      <c r="E33" s="181"/>
      <c r="F33" s="183"/>
      <c r="G33" s="127"/>
      <c r="H33" s="127"/>
      <c r="I33" s="127"/>
      <c r="J33" s="127"/>
      <c r="K33" s="127"/>
      <c r="L33" s="127"/>
      <c r="M33" s="164"/>
      <c r="N33" s="127"/>
      <c r="O33" s="127"/>
      <c r="P33" s="117"/>
      <c r="Q33" s="117"/>
      <c r="S33" s="127"/>
      <c r="T33" s="127"/>
    </row>
    <row r="34" spans="1:21" ht="10.5" customHeight="1">
      <c r="A34" s="200" t="s">
        <v>348</v>
      </c>
      <c r="B34" s="124"/>
      <c r="C34" s="199">
        <f>C32/C30</f>
        <v>0.36428571428571427</v>
      </c>
      <c r="D34" s="196"/>
      <c r="E34" s="127"/>
      <c r="F34" s="183"/>
      <c r="G34" s="127"/>
      <c r="H34" s="166"/>
      <c r="I34" s="166"/>
      <c r="J34" s="127"/>
      <c r="K34" s="127"/>
      <c r="L34" s="127"/>
      <c r="M34" s="119"/>
      <c r="N34" s="127"/>
      <c r="O34" s="127"/>
      <c r="P34" s="117"/>
      <c r="Q34" s="117"/>
      <c r="R34" s="117"/>
      <c r="S34" s="117"/>
      <c r="T34" s="117"/>
      <c r="U34" s="117"/>
    </row>
    <row r="35" spans="1:21" ht="10.5" customHeight="1">
      <c r="A35" s="197"/>
      <c r="B35" s="137"/>
      <c r="C35" s="137"/>
      <c r="D35" s="182"/>
      <c r="E35" s="182"/>
      <c r="F35" s="184"/>
      <c r="G35" s="127"/>
      <c r="H35" s="127"/>
      <c r="I35" s="127"/>
      <c r="J35" s="127"/>
      <c r="K35" s="127"/>
      <c r="L35" s="127"/>
      <c r="M35" s="162"/>
      <c r="N35" s="127"/>
      <c r="O35" s="127"/>
      <c r="P35" s="117"/>
      <c r="Q35" s="117"/>
      <c r="R35" s="117"/>
      <c r="S35" s="117"/>
      <c r="T35" s="117"/>
      <c r="U35" s="117"/>
    </row>
    <row r="36" spans="1:21" ht="10.5" customHeight="1">
      <c r="A36" s="124"/>
      <c r="B36" s="124"/>
      <c r="C36" s="124"/>
      <c r="D36" s="117"/>
      <c r="E36" s="117"/>
      <c r="F36" s="127"/>
      <c r="G36" s="127"/>
      <c r="H36" s="127"/>
      <c r="I36" s="127"/>
      <c r="J36" s="127"/>
      <c r="K36" s="127"/>
      <c r="L36" s="162"/>
      <c r="M36" s="167"/>
      <c r="N36" s="127"/>
      <c r="O36" s="127"/>
      <c r="P36" s="117"/>
      <c r="Q36" s="117"/>
      <c r="R36" s="117"/>
      <c r="S36" s="117"/>
      <c r="T36" s="117"/>
      <c r="U36" s="117"/>
    </row>
    <row r="37" spans="3:21" ht="10.5" customHeight="1"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</row>
    <row r="38" spans="3:21" ht="10.5" customHeight="1"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</row>
    <row r="39" spans="3:21" ht="10.5" customHeight="1">
      <c r="C39" s="138"/>
      <c r="D39" s="138"/>
      <c r="E39" s="138"/>
      <c r="F39" s="138"/>
      <c r="G39" s="138"/>
      <c r="H39" s="168"/>
      <c r="I39" s="168"/>
      <c r="J39" s="168"/>
      <c r="K39" s="168"/>
      <c r="L39" s="168"/>
      <c r="M39" s="168"/>
      <c r="N39" s="138"/>
      <c r="O39" s="138"/>
      <c r="P39" s="138"/>
      <c r="Q39" s="138"/>
      <c r="R39" s="138"/>
      <c r="S39" s="138"/>
      <c r="T39" s="138"/>
      <c r="U39" s="138"/>
    </row>
    <row r="40" spans="8:13" ht="10.5" customHeight="1">
      <c r="H40" s="102"/>
      <c r="I40" s="102"/>
      <c r="J40" s="102"/>
      <c r="K40" s="102"/>
      <c r="L40" s="102"/>
      <c r="M40" s="102"/>
    </row>
    <row r="41" ht="10.5" customHeight="1"/>
    <row r="42" ht="10.5" customHeight="1"/>
    <row r="46" s="135" customFormat="1" ht="11.25"/>
  </sheetData>
  <mergeCells count="24">
    <mergeCell ref="D2:E2"/>
    <mergeCell ref="D3:E3"/>
    <mergeCell ref="D5:E5"/>
    <mergeCell ref="D7:E7"/>
    <mergeCell ref="D9:E9"/>
    <mergeCell ref="D11:E11"/>
    <mergeCell ref="D13:E13"/>
    <mergeCell ref="D18:E18"/>
    <mergeCell ref="M21:M22"/>
    <mergeCell ref="N21:N22"/>
    <mergeCell ref="F21:F22"/>
    <mergeCell ref="G21:G22"/>
    <mergeCell ref="H21:H22"/>
    <mergeCell ref="J21:J22"/>
    <mergeCell ref="S21:S22"/>
    <mergeCell ref="T21:T22"/>
    <mergeCell ref="T27:U27"/>
    <mergeCell ref="I21:I22"/>
    <mergeCell ref="O21:O22"/>
    <mergeCell ref="P21:P22"/>
    <mergeCell ref="Q21:Q22"/>
    <mergeCell ref="R21:R22"/>
    <mergeCell ref="K21:K22"/>
    <mergeCell ref="L21:L22"/>
  </mergeCells>
  <printOptions/>
  <pageMargins left="0.75" right="0.75" top="1" bottom="1" header="0.4921259845" footer="0.4921259845"/>
  <pageSetup horizontalDpi="300" verticalDpi="300" orientation="landscape" paperSize="9" r:id="rId2"/>
  <headerFooter alignWithMargins="0">
    <oddHeader>&amp;LKitenge Somwé&amp;C&amp;A&amp;R&amp;D</oddHeader>
    <oddFooter>&amp;CMouvement des Stocks  Piles et Accu Mai 98&amp;RPage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1"/>
  <dimension ref="A1:Q51"/>
  <sheetViews>
    <sheetView workbookViewId="0" topLeftCell="B1">
      <selection activeCell="E41" sqref="E41"/>
    </sheetView>
  </sheetViews>
  <sheetFormatPr defaultColWidth="11.421875" defaultRowHeight="9.75" customHeight="1"/>
  <cols>
    <col min="1" max="4" width="8.7109375" style="203" customWidth="1"/>
    <col min="5" max="5" width="10.421875" style="203" customWidth="1"/>
    <col min="6" max="8" width="8.7109375" style="203" customWidth="1"/>
    <col min="9" max="9" width="9.00390625" style="203" customWidth="1"/>
    <col min="10" max="10" width="7.28125" style="203" customWidth="1"/>
    <col min="11" max="11" width="8.140625" style="203" customWidth="1"/>
    <col min="12" max="12" width="8.7109375" style="203" customWidth="1"/>
    <col min="13" max="13" width="8.57421875" style="203" customWidth="1"/>
    <col min="14" max="14" width="8.421875" style="203" customWidth="1"/>
    <col min="15" max="15" width="10.00390625" style="203" customWidth="1"/>
    <col min="16" max="17" width="8.7109375" style="203" customWidth="1"/>
    <col min="18" max="16384" width="11.421875" style="203" customWidth="1"/>
  </cols>
  <sheetData>
    <row r="1" spans="1:16" ht="25.5" customHeight="1">
      <c r="A1" s="204" t="s">
        <v>119</v>
      </c>
      <c r="B1" s="204" t="s">
        <v>120</v>
      </c>
      <c r="C1" s="204" t="s">
        <v>121</v>
      </c>
      <c r="D1" s="204" t="s">
        <v>122</v>
      </c>
      <c r="E1" s="204" t="s">
        <v>123</v>
      </c>
      <c r="F1" s="204" t="s">
        <v>124</v>
      </c>
      <c r="G1" s="204" t="s">
        <v>125</v>
      </c>
      <c r="H1" s="205" t="s">
        <v>133</v>
      </c>
      <c r="I1" s="205" t="s">
        <v>134</v>
      </c>
      <c r="J1" s="205" t="s">
        <v>210</v>
      </c>
      <c r="K1" s="205" t="s">
        <v>126</v>
      </c>
      <c r="L1" s="204" t="s">
        <v>127</v>
      </c>
      <c r="M1" s="204" t="s">
        <v>128</v>
      </c>
      <c r="N1" s="205" t="s">
        <v>129</v>
      </c>
      <c r="O1" s="206" t="s">
        <v>130</v>
      </c>
      <c r="P1" s="207"/>
    </row>
    <row r="2" spans="1:15" ht="3.75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7"/>
    </row>
    <row r="3" spans="1:15" ht="9.75" customHeight="1">
      <c r="A3" s="244">
        <v>35886</v>
      </c>
      <c r="B3" s="209" t="s">
        <v>131</v>
      </c>
      <c r="C3" s="210">
        <v>56926</v>
      </c>
      <c r="E3" s="207">
        <f>C3+D4+D5+D6+D7+D8</f>
        <v>171590</v>
      </c>
      <c r="I3" s="211" t="s">
        <v>268</v>
      </c>
      <c r="O3" s="211" t="s">
        <v>269</v>
      </c>
    </row>
    <row r="4" spans="1:15" s="207" customFormat="1" ht="9" customHeight="1">
      <c r="A4" s="209">
        <v>18</v>
      </c>
      <c r="D4" s="207">
        <v>0</v>
      </c>
      <c r="F4" s="207">
        <v>11000</v>
      </c>
      <c r="G4" s="207">
        <v>0</v>
      </c>
      <c r="H4" s="207">
        <f>F4-G4</f>
        <v>11000</v>
      </c>
      <c r="K4" s="207">
        <f>C3+D4-F4</f>
        <v>45926</v>
      </c>
      <c r="L4" s="207" t="s">
        <v>250</v>
      </c>
      <c r="N4" s="207">
        <f>K4</f>
        <v>45926</v>
      </c>
      <c r="O4" s="212" t="s">
        <v>199</v>
      </c>
    </row>
    <row r="5" spans="1:15" ht="9" customHeight="1">
      <c r="A5" s="213">
        <v>19</v>
      </c>
      <c r="D5" s="203">
        <f>22511+23080</f>
        <v>45591</v>
      </c>
      <c r="F5" s="203">
        <f>56415-489-489</f>
        <v>55437</v>
      </c>
      <c r="G5" s="203">
        <v>3864</v>
      </c>
      <c r="H5" s="207">
        <f>F5-G5</f>
        <v>51573</v>
      </c>
      <c r="K5" s="214">
        <f>K4+D5-F5</f>
        <v>36080</v>
      </c>
      <c r="L5" s="203" t="s">
        <v>263</v>
      </c>
      <c r="N5" s="203">
        <f>K5</f>
        <v>36080</v>
      </c>
      <c r="O5" s="211" t="s">
        <v>270</v>
      </c>
    </row>
    <row r="6" spans="1:15" ht="9" customHeight="1">
      <c r="A6" s="213">
        <v>20</v>
      </c>
      <c r="D6" s="203">
        <f>22475+23044</f>
        <v>45519</v>
      </c>
      <c r="F6" s="203">
        <f>61599</f>
        <v>61599</v>
      </c>
      <c r="G6" s="203">
        <v>2834</v>
      </c>
      <c r="H6" s="207">
        <f>F6-G6</f>
        <v>58765</v>
      </c>
      <c r="K6" s="214">
        <f>K5+D6-F6</f>
        <v>20000</v>
      </c>
      <c r="L6" s="203" t="s">
        <v>294</v>
      </c>
      <c r="N6" s="203">
        <f>K6</f>
        <v>20000</v>
      </c>
      <c r="O6" s="203" t="s">
        <v>271</v>
      </c>
    </row>
    <row r="7" spans="1:17" ht="9" customHeight="1">
      <c r="A7" s="209">
        <v>21</v>
      </c>
      <c r="B7" s="207"/>
      <c r="C7" s="207"/>
      <c r="D7" s="207">
        <v>0</v>
      </c>
      <c r="F7" s="203">
        <v>12614</v>
      </c>
      <c r="G7" s="203">
        <f>2818+860</f>
        <v>3678</v>
      </c>
      <c r="H7" s="207">
        <f>F7-G7</f>
        <v>8936</v>
      </c>
      <c r="I7" s="212"/>
      <c r="J7" s="207"/>
      <c r="K7" s="214">
        <f>K6+D7-F7</f>
        <v>7386</v>
      </c>
      <c r="L7" s="212" t="s">
        <v>297</v>
      </c>
      <c r="M7" s="207"/>
      <c r="N7" s="203">
        <f>K7</f>
        <v>7386</v>
      </c>
      <c r="O7" s="213" t="s">
        <v>272</v>
      </c>
      <c r="P7" s="207"/>
      <c r="Q7" s="207"/>
    </row>
    <row r="8" spans="1:17" ht="9.75" customHeight="1">
      <c r="A8" s="213">
        <v>22</v>
      </c>
      <c r="B8" s="207"/>
      <c r="C8" s="207"/>
      <c r="D8" s="207">
        <v>23554</v>
      </c>
      <c r="F8" s="203">
        <v>22932</v>
      </c>
      <c r="G8" s="207">
        <v>440</v>
      </c>
      <c r="H8" s="212">
        <f>F8-G8</f>
        <v>22492</v>
      </c>
      <c r="I8" s="212"/>
      <c r="J8" s="207"/>
      <c r="K8" s="215">
        <f>K7+D8-F8</f>
        <v>8008</v>
      </c>
      <c r="L8" s="211">
        <v>1614</v>
      </c>
      <c r="M8" s="207"/>
      <c r="N8" s="203">
        <f>K8</f>
        <v>8008</v>
      </c>
      <c r="O8" s="207" t="s">
        <v>273</v>
      </c>
      <c r="P8" s="207"/>
      <c r="Q8" s="207"/>
    </row>
    <row r="9" spans="1:17" ht="10.5" customHeight="1">
      <c r="A9" s="213"/>
      <c r="B9" s="207"/>
      <c r="C9" s="207"/>
      <c r="D9" s="207"/>
      <c r="G9" s="207"/>
      <c r="H9" s="212"/>
      <c r="I9" s="212"/>
      <c r="J9" s="207"/>
      <c r="L9" s="207"/>
      <c r="M9" s="207"/>
      <c r="N9" s="207"/>
      <c r="O9" s="207" t="s">
        <v>274</v>
      </c>
      <c r="P9" s="207"/>
      <c r="Q9" s="207"/>
    </row>
    <row r="10" spans="1:17" ht="14.25" customHeight="1">
      <c r="A10" s="216"/>
      <c r="B10" s="216"/>
      <c r="C10" s="216"/>
      <c r="D10" s="216"/>
      <c r="E10" s="216"/>
      <c r="F10" s="217">
        <f>SUM(F4:F9)</f>
        <v>163582</v>
      </c>
      <c r="G10" s="217">
        <f>SUM(G4:G9)</f>
        <v>10816</v>
      </c>
      <c r="H10" s="218">
        <f>SUM(H4:H8)</f>
        <v>152766</v>
      </c>
      <c r="I10" s="216"/>
      <c r="J10" s="216"/>
      <c r="K10" s="216"/>
      <c r="L10" s="216"/>
      <c r="M10" s="216"/>
      <c r="N10" s="216"/>
      <c r="O10" s="216"/>
      <c r="P10" s="219"/>
      <c r="Q10" s="219"/>
    </row>
    <row r="11" spans="1:16" ht="9" customHeight="1">
      <c r="A11" s="244">
        <v>35886</v>
      </c>
      <c r="B11" s="220"/>
      <c r="C11" s="220"/>
      <c r="D11" s="220"/>
      <c r="E11" s="220"/>
      <c r="F11" s="220"/>
      <c r="G11" s="220"/>
      <c r="H11" s="221"/>
      <c r="J11" s="220"/>
      <c r="K11" s="220"/>
      <c r="L11" s="220"/>
      <c r="M11" s="220"/>
      <c r="N11" s="220"/>
      <c r="O11" s="220"/>
      <c r="P11" s="219"/>
    </row>
    <row r="12" spans="1:10" ht="9" customHeight="1">
      <c r="A12" s="209">
        <v>18</v>
      </c>
      <c r="C12" s="222">
        <v>39406</v>
      </c>
      <c r="H12" s="223"/>
      <c r="I12" s="211" t="s">
        <v>199</v>
      </c>
      <c r="J12" s="211" t="s">
        <v>198</v>
      </c>
    </row>
    <row r="13" spans="2:8" ht="9" customHeight="1">
      <c r="B13" s="203" t="s">
        <v>204</v>
      </c>
      <c r="C13" s="203">
        <f>3759</f>
        <v>3759</v>
      </c>
      <c r="D13" s="207"/>
      <c r="E13" s="207"/>
      <c r="F13" s="203">
        <v>721</v>
      </c>
      <c r="G13" s="203">
        <v>0</v>
      </c>
      <c r="H13" s="223">
        <f>F13</f>
        <v>721</v>
      </c>
    </row>
    <row r="14" spans="1:15" ht="9" customHeight="1">
      <c r="A14" s="220"/>
      <c r="B14" s="220"/>
      <c r="C14" s="220"/>
      <c r="D14" s="220"/>
      <c r="E14" s="220"/>
      <c r="F14" s="220" t="s">
        <v>197</v>
      </c>
      <c r="G14" s="220"/>
      <c r="H14" s="210">
        <f>SUM(H13:H13)</f>
        <v>721</v>
      </c>
      <c r="I14" s="220">
        <v>537</v>
      </c>
      <c r="J14" s="220">
        <v>0</v>
      </c>
      <c r="K14" s="220"/>
      <c r="L14" s="220"/>
      <c r="M14" s="220"/>
      <c r="N14" s="220"/>
      <c r="O14" s="220"/>
    </row>
    <row r="15" spans="1:15" ht="9" customHeight="1">
      <c r="A15" s="244">
        <v>35886</v>
      </c>
      <c r="B15" s="207" t="s">
        <v>204</v>
      </c>
      <c r="C15" s="207">
        <f>3759-721</f>
        <v>3038</v>
      </c>
      <c r="D15" s="207"/>
      <c r="E15" s="207"/>
      <c r="F15" s="203">
        <f>C15</f>
        <v>3038</v>
      </c>
      <c r="G15" s="203">
        <v>443</v>
      </c>
      <c r="H15" s="223">
        <f>F15-G15</f>
        <v>2595</v>
      </c>
      <c r="I15" s="213" t="s">
        <v>266</v>
      </c>
      <c r="J15" s="207">
        <v>600</v>
      </c>
      <c r="K15" s="207"/>
      <c r="L15" s="207"/>
      <c r="M15" s="207"/>
      <c r="N15" s="207"/>
      <c r="O15" s="207"/>
    </row>
    <row r="16" spans="1:15" ht="9" customHeight="1">
      <c r="A16" s="257">
        <v>19</v>
      </c>
      <c r="B16" s="207" t="s">
        <v>213</v>
      </c>
      <c r="C16" s="203">
        <v>5702</v>
      </c>
      <c r="D16" s="224"/>
      <c r="F16" s="203">
        <f>C16</f>
        <v>5702</v>
      </c>
      <c r="G16" s="203">
        <v>200</v>
      </c>
      <c r="H16" s="223">
        <f>F16-G16</f>
        <v>5502</v>
      </c>
      <c r="I16" s="209" t="s">
        <v>267</v>
      </c>
      <c r="J16" s="203">
        <v>600</v>
      </c>
      <c r="O16" s="211" t="s">
        <v>269</v>
      </c>
    </row>
    <row r="17" spans="2:15" ht="9" customHeight="1">
      <c r="B17" s="207" t="s">
        <v>193</v>
      </c>
      <c r="D17" s="203">
        <v>3572</v>
      </c>
      <c r="F17" s="203">
        <f>D17</f>
        <v>3572</v>
      </c>
      <c r="G17" s="203">
        <v>120</v>
      </c>
      <c r="H17" s="223">
        <f>F17-G17</f>
        <v>3452</v>
      </c>
      <c r="I17" s="209" t="s">
        <v>264</v>
      </c>
      <c r="J17" s="203">
        <v>600</v>
      </c>
      <c r="O17" s="212" t="s">
        <v>199</v>
      </c>
    </row>
    <row r="18" spans="2:15" ht="9" customHeight="1">
      <c r="B18" s="207" t="s">
        <v>293</v>
      </c>
      <c r="D18" s="203">
        <v>416</v>
      </c>
      <c r="F18" s="203">
        <f>D18</f>
        <v>416</v>
      </c>
      <c r="G18" s="203">
        <v>0</v>
      </c>
      <c r="H18" s="223">
        <f>F18-G18</f>
        <v>416</v>
      </c>
      <c r="I18" s="209" t="s">
        <v>265</v>
      </c>
      <c r="J18" s="203">
        <f>721+480</f>
        <v>1201</v>
      </c>
      <c r="O18" s="211" t="s">
        <v>295</v>
      </c>
    </row>
    <row r="19" spans="1:15" ht="9" customHeight="1">
      <c r="A19" s="220"/>
      <c r="B19" s="220"/>
      <c r="C19" s="220"/>
      <c r="D19" s="226" t="s">
        <v>246</v>
      </c>
      <c r="E19" s="220"/>
      <c r="F19" s="220">
        <f>SUM(F15:F18)</f>
        <v>12728</v>
      </c>
      <c r="G19" s="251">
        <f>SUM(G15:G17)</f>
        <v>763</v>
      </c>
      <c r="H19" s="210">
        <f>SUM(H15:H18)</f>
        <v>11965</v>
      </c>
      <c r="I19" s="220">
        <f>444+336+363+374+260+333</f>
        <v>2110</v>
      </c>
      <c r="J19" s="220">
        <f>SUM(J15:J18)</f>
        <v>3001</v>
      </c>
      <c r="K19" s="220"/>
      <c r="L19" s="220"/>
      <c r="M19" s="220"/>
      <c r="N19" s="220"/>
      <c r="O19" s="220" t="s">
        <v>274</v>
      </c>
    </row>
    <row r="20" spans="1:15" ht="9" customHeight="1">
      <c r="A20" s="245">
        <v>35886</v>
      </c>
      <c r="B20" s="212" t="s">
        <v>196</v>
      </c>
      <c r="C20" s="212">
        <v>2726</v>
      </c>
      <c r="D20" s="207"/>
      <c r="E20" s="207"/>
      <c r="F20" s="203">
        <v>2726</v>
      </c>
      <c r="G20" s="203">
        <v>0</v>
      </c>
      <c r="H20" s="223">
        <f>F20-G20</f>
        <v>2726</v>
      </c>
      <c r="I20" s="203">
        <v>121</v>
      </c>
      <c r="J20" s="207">
        <f>721*2</f>
        <v>1442</v>
      </c>
      <c r="K20" s="207"/>
      <c r="L20" s="207"/>
      <c r="M20" s="207"/>
      <c r="N20" s="207"/>
      <c r="O20" s="207"/>
    </row>
    <row r="21" spans="1:15" ht="9" customHeight="1">
      <c r="A21" s="257">
        <v>20</v>
      </c>
      <c r="B21" s="207" t="s">
        <v>7</v>
      </c>
      <c r="D21" s="207">
        <v>14370</v>
      </c>
      <c r="E21" s="207"/>
      <c r="F21" s="203">
        <v>0</v>
      </c>
      <c r="G21" s="203">
        <v>0</v>
      </c>
      <c r="H21" s="223">
        <f>F21-G21</f>
        <v>0</v>
      </c>
      <c r="I21" s="207">
        <v>362</v>
      </c>
      <c r="J21" s="207">
        <v>364</v>
      </c>
      <c r="K21" s="207"/>
      <c r="L21" s="207"/>
      <c r="M21" s="207"/>
      <c r="N21" s="207"/>
      <c r="O21" s="207"/>
    </row>
    <row r="22" spans="2:10" ht="9" customHeight="1">
      <c r="B22" s="203" t="s">
        <v>193</v>
      </c>
      <c r="D22" s="203">
        <v>4060</v>
      </c>
      <c r="F22" s="203">
        <v>0</v>
      </c>
      <c r="G22" s="203">
        <v>0</v>
      </c>
      <c r="H22" s="223">
        <f>F22-G22</f>
        <v>0</v>
      </c>
      <c r="I22" s="203">
        <v>446</v>
      </c>
      <c r="J22" s="203">
        <v>600</v>
      </c>
    </row>
    <row r="23" spans="2:10" ht="9" customHeight="1">
      <c r="B23" s="207" t="s">
        <v>288</v>
      </c>
      <c r="D23" s="203">
        <v>12557</v>
      </c>
      <c r="F23" s="203">
        <v>0</v>
      </c>
      <c r="G23" s="203">
        <v>0</v>
      </c>
      <c r="H23" s="223">
        <f>F23-G23</f>
        <v>0</v>
      </c>
      <c r="I23" s="203">
        <v>351</v>
      </c>
      <c r="J23" s="203">
        <v>600</v>
      </c>
    </row>
    <row r="24" spans="2:10" ht="9" customHeight="1">
      <c r="B24" s="207" t="s">
        <v>290</v>
      </c>
      <c r="D24" s="203">
        <v>464</v>
      </c>
      <c r="F24" s="203">
        <v>0</v>
      </c>
      <c r="G24" s="203">
        <v>0</v>
      </c>
      <c r="H24" s="223">
        <f>F24-G24</f>
        <v>0</v>
      </c>
      <c r="I24" s="203">
        <v>338</v>
      </c>
      <c r="J24" s="203">
        <v>600</v>
      </c>
    </row>
    <row r="25" spans="1:15" ht="9" customHeight="1">
      <c r="A25" s="220"/>
      <c r="B25" s="220" t="s">
        <v>289</v>
      </c>
      <c r="C25" s="220"/>
      <c r="D25" s="220">
        <v>657</v>
      </c>
      <c r="E25" s="220"/>
      <c r="F25" s="226" t="s">
        <v>380</v>
      </c>
      <c r="G25" s="220"/>
      <c r="H25" s="225">
        <f>SUM(H20:H24)</f>
        <v>2726</v>
      </c>
      <c r="I25" s="220">
        <f>SUM(I20:I24)</f>
        <v>1618</v>
      </c>
      <c r="J25" s="220">
        <f>SUM(J20:J24)</f>
        <v>3606</v>
      </c>
      <c r="K25" s="220"/>
      <c r="L25" s="220"/>
      <c r="M25" s="220"/>
      <c r="N25" s="220"/>
      <c r="O25" s="220"/>
    </row>
    <row r="26" spans="1:14" ht="9" customHeight="1">
      <c r="A26" s="244">
        <v>35886</v>
      </c>
      <c r="B26" s="203" t="s">
        <v>6</v>
      </c>
      <c r="D26" s="203">
        <v>6542</v>
      </c>
      <c r="E26" s="256" t="s">
        <v>372</v>
      </c>
      <c r="F26" s="203">
        <f>1510+804+479+174+249</f>
        <v>3216</v>
      </c>
      <c r="G26" s="203">
        <v>0</v>
      </c>
      <c r="H26" s="223">
        <f>F26-G26</f>
        <v>3216</v>
      </c>
      <c r="I26" s="203">
        <v>319</v>
      </c>
      <c r="J26" s="203">
        <v>600</v>
      </c>
      <c r="N26" s="203" t="s">
        <v>291</v>
      </c>
    </row>
    <row r="27" spans="2:15" ht="9" customHeight="1">
      <c r="B27" s="203" t="s">
        <v>193</v>
      </c>
      <c r="D27" s="203">
        <v>960</v>
      </c>
      <c r="E27" s="239"/>
      <c r="F27" s="203">
        <v>0</v>
      </c>
      <c r="G27" s="203">
        <v>0</v>
      </c>
      <c r="H27" s="223">
        <f>F27-G27</f>
        <v>0</v>
      </c>
      <c r="I27" s="203">
        <v>344</v>
      </c>
      <c r="J27" s="203">
        <v>600</v>
      </c>
      <c r="N27" s="203">
        <v>14164</v>
      </c>
      <c r="O27" s="203" t="s">
        <v>292</v>
      </c>
    </row>
    <row r="28" spans="1:8" ht="9" customHeight="1">
      <c r="A28" s="257">
        <v>22</v>
      </c>
      <c r="B28" s="203" t="s">
        <v>365</v>
      </c>
      <c r="D28" s="203">
        <f>10996+6423</f>
        <v>17419</v>
      </c>
      <c r="E28" s="239"/>
      <c r="F28" s="203">
        <v>0</v>
      </c>
      <c r="G28" s="203">
        <v>0</v>
      </c>
      <c r="H28" s="223">
        <f>F28-G28</f>
        <v>0</v>
      </c>
    </row>
    <row r="29" spans="2:8" ht="9.75" customHeight="1">
      <c r="B29" s="203" t="s">
        <v>366</v>
      </c>
      <c r="D29" s="203">
        <v>326</v>
      </c>
      <c r="E29" s="239"/>
      <c r="F29" s="203">
        <f>D29</f>
        <v>326</v>
      </c>
      <c r="G29" s="203">
        <v>0</v>
      </c>
      <c r="H29" s="223">
        <f>F29-G29</f>
        <v>326</v>
      </c>
    </row>
    <row r="30" spans="2:14" ht="9.75" customHeight="1">
      <c r="B30" s="203" t="s">
        <v>371</v>
      </c>
      <c r="D30" s="203">
        <v>47</v>
      </c>
      <c r="E30" s="239"/>
      <c r="F30" s="203">
        <f>D30</f>
        <v>47</v>
      </c>
      <c r="G30" s="203">
        <v>0</v>
      </c>
      <c r="H30" s="223">
        <f>F30-G30</f>
        <v>47</v>
      </c>
      <c r="N30" s="211"/>
    </row>
    <row r="31" spans="1:15" ht="9" customHeight="1">
      <c r="A31" s="220"/>
      <c r="B31" s="220"/>
      <c r="C31" s="220"/>
      <c r="D31" s="220"/>
      <c r="E31" s="220"/>
      <c r="F31" s="226" t="s">
        <v>379</v>
      </c>
      <c r="G31" s="220"/>
      <c r="H31" s="210">
        <f>SUM(H26:H30)</f>
        <v>3589</v>
      </c>
      <c r="I31" s="220">
        <f>SUM(I26:I30)</f>
        <v>663</v>
      </c>
      <c r="J31" s="220">
        <f>SUM(J26:J30)</f>
        <v>1200</v>
      </c>
      <c r="K31" s="220"/>
      <c r="L31" s="220"/>
      <c r="M31" s="220"/>
      <c r="N31" s="203">
        <f>10996+6423</f>
        <v>17419</v>
      </c>
      <c r="O31" s="203" t="s">
        <v>365</v>
      </c>
    </row>
    <row r="32" spans="1:15" ht="9" customHeight="1">
      <c r="A32" s="244">
        <v>35886</v>
      </c>
      <c r="F32" s="203">
        <v>0</v>
      </c>
      <c r="G32" s="203">
        <v>0</v>
      </c>
      <c r="H32" s="223">
        <f>F32-G32</f>
        <v>0</v>
      </c>
      <c r="N32" s="203">
        <v>5232</v>
      </c>
      <c r="O32" s="203" t="s">
        <v>200</v>
      </c>
    </row>
    <row r="33" spans="6:15" ht="9" customHeight="1">
      <c r="F33" s="203">
        <v>0</v>
      </c>
      <c r="G33" s="203">
        <v>0</v>
      </c>
      <c r="H33" s="223">
        <f>F33-G33</f>
        <v>0</v>
      </c>
      <c r="N33" s="203">
        <v>14150</v>
      </c>
      <c r="O33" s="203" t="s">
        <v>7</v>
      </c>
    </row>
    <row r="34" spans="1:15" ht="9" customHeight="1">
      <c r="A34" s="227"/>
      <c r="B34" s="220"/>
      <c r="C34" s="220"/>
      <c r="D34" s="220"/>
      <c r="E34" s="220"/>
      <c r="F34" s="220" t="s">
        <v>378</v>
      </c>
      <c r="G34" s="220"/>
      <c r="H34" s="210">
        <f>SUM(H32:H33)</f>
        <v>0</v>
      </c>
      <c r="I34" s="220"/>
      <c r="J34" s="220"/>
      <c r="K34" s="220"/>
      <c r="L34" s="220"/>
      <c r="M34" s="220"/>
      <c r="N34" s="203">
        <f>10563-F20-F26</f>
        <v>4621</v>
      </c>
      <c r="O34" s="203" t="s">
        <v>203</v>
      </c>
    </row>
    <row r="35" spans="1:15" ht="9" customHeight="1">
      <c r="A35" s="213"/>
      <c r="F35" s="203">
        <v>0</v>
      </c>
      <c r="G35" s="203">
        <v>0</v>
      </c>
      <c r="H35" s="223">
        <f>F35-G35</f>
        <v>0</v>
      </c>
      <c r="N35" s="203">
        <v>14370</v>
      </c>
      <c r="O35" s="203" t="s">
        <v>7</v>
      </c>
    </row>
    <row r="36" spans="6:15" ht="9" customHeight="1">
      <c r="F36" s="203">
        <v>0</v>
      </c>
      <c r="G36" s="203">
        <v>0</v>
      </c>
      <c r="H36" s="223">
        <f>F36-G36</f>
        <v>0</v>
      </c>
      <c r="N36" s="203">
        <f>4060+960</f>
        <v>5020</v>
      </c>
      <c r="O36" s="203" t="s">
        <v>193</v>
      </c>
    </row>
    <row r="37" spans="6:15" ht="9.75" customHeight="1">
      <c r="F37" s="203">
        <v>0</v>
      </c>
      <c r="G37" s="203">
        <v>0</v>
      </c>
      <c r="H37" s="223">
        <f>F37-G37</f>
        <v>0</v>
      </c>
      <c r="N37" s="203">
        <v>12557</v>
      </c>
      <c r="O37" s="203" t="s">
        <v>288</v>
      </c>
    </row>
    <row r="38" spans="6:15" ht="9.75" customHeight="1">
      <c r="F38" s="203">
        <v>0</v>
      </c>
      <c r="G38" s="203">
        <v>0</v>
      </c>
      <c r="H38" s="223">
        <f>F38-G38</f>
        <v>0</v>
      </c>
      <c r="N38" s="203">
        <v>464</v>
      </c>
      <c r="O38" s="203" t="s">
        <v>290</v>
      </c>
    </row>
    <row r="39" spans="6:15" ht="9.75" customHeight="1">
      <c r="F39" s="226"/>
      <c r="G39" s="220"/>
      <c r="H39" s="210">
        <f>SUM(H35:H38)</f>
        <v>0</v>
      </c>
      <c r="I39" s="220">
        <v>0</v>
      </c>
      <c r="J39" s="220">
        <v>0</v>
      </c>
      <c r="N39" s="203">
        <v>657</v>
      </c>
      <c r="O39" s="203" t="s">
        <v>289</v>
      </c>
    </row>
    <row r="40" spans="8:15" ht="9" customHeight="1">
      <c r="H40" s="210"/>
      <c r="N40" s="203">
        <v>6542</v>
      </c>
      <c r="O40" s="203" t="s">
        <v>6</v>
      </c>
    </row>
    <row r="41" spans="1:15" ht="11.25" customHeight="1">
      <c r="A41" s="220"/>
      <c r="B41" s="220"/>
      <c r="C41" s="220">
        <v>0</v>
      </c>
      <c r="D41" s="228">
        <f>SUM(D17:D40)</f>
        <v>61390</v>
      </c>
      <c r="E41" s="220">
        <f>C12+D41</f>
        <v>100796</v>
      </c>
      <c r="F41" s="220">
        <f>SUM(F13+F15+F16+F17+F18+F20+F26+F29+F30)</f>
        <v>19764</v>
      </c>
      <c r="G41" s="220">
        <f>SUM(G13:G40)</f>
        <v>1526</v>
      </c>
      <c r="H41" s="229">
        <f>H14+H19+H25+H31+H39</f>
        <v>19001</v>
      </c>
      <c r="I41" s="230">
        <f>I14+I19+I25+I31</f>
        <v>4928</v>
      </c>
      <c r="J41" s="231">
        <f>J19+J25+J31</f>
        <v>7807</v>
      </c>
      <c r="K41" s="226"/>
      <c r="L41" s="220"/>
      <c r="M41" s="220"/>
      <c r="N41" s="211">
        <f>SUM(N31:N40)</f>
        <v>81032</v>
      </c>
      <c r="O41" s="203" t="s">
        <v>202</v>
      </c>
    </row>
    <row r="42" spans="1:15" ht="9" customHeight="1">
      <c r="A42" s="216"/>
      <c r="B42" s="232" t="s">
        <v>206</v>
      </c>
      <c r="C42" s="216"/>
      <c r="D42" s="216"/>
      <c r="E42" s="232" t="s">
        <v>247</v>
      </c>
      <c r="F42" s="216"/>
      <c r="G42" s="216"/>
      <c r="H42" s="216" t="s">
        <v>144</v>
      </c>
      <c r="I42" s="233" t="s">
        <v>145</v>
      </c>
      <c r="J42" s="234" t="s">
        <v>205</v>
      </c>
      <c r="K42" s="216"/>
      <c r="L42" s="216"/>
      <c r="M42" s="216"/>
      <c r="N42" s="235" t="s">
        <v>14</v>
      </c>
      <c r="O42" s="211" t="s">
        <v>201</v>
      </c>
    </row>
    <row r="43" spans="1:8" ht="9" customHeight="1">
      <c r="A43" s="236" t="s">
        <v>137</v>
      </c>
      <c r="B43" s="237" t="s">
        <v>139</v>
      </c>
      <c r="C43" s="238" t="s">
        <v>140</v>
      </c>
      <c r="D43" s="236" t="s">
        <v>137</v>
      </c>
      <c r="E43" s="237" t="s">
        <v>139</v>
      </c>
      <c r="F43" s="238" t="s">
        <v>140</v>
      </c>
      <c r="H43" s="209" t="s">
        <v>208</v>
      </c>
    </row>
    <row r="44" spans="1:14" ht="9.75" customHeight="1">
      <c r="A44" s="239" t="s">
        <v>138</v>
      </c>
      <c r="B44" s="207"/>
      <c r="C44" s="240" t="s">
        <v>141</v>
      </c>
      <c r="D44" s="239" t="s">
        <v>138</v>
      </c>
      <c r="E44" s="207"/>
      <c r="F44" s="240" t="s">
        <v>141</v>
      </c>
      <c r="G44" s="216"/>
      <c r="H44" s="232" t="s">
        <v>373</v>
      </c>
      <c r="I44" s="216"/>
      <c r="K44" s="241" t="s">
        <v>132</v>
      </c>
      <c r="M44" s="229">
        <f>H10+H41+I41+J41</f>
        <v>184502</v>
      </c>
      <c r="N44" s="203" t="s">
        <v>166</v>
      </c>
    </row>
    <row r="45" spans="1:11" ht="9" customHeight="1">
      <c r="A45" s="221">
        <f>H4+H14</f>
        <v>11721</v>
      </c>
      <c r="B45" s="220">
        <f>G4</f>
        <v>0</v>
      </c>
      <c r="C45" s="242">
        <f>H4+H14</f>
        <v>11721</v>
      </c>
      <c r="D45" s="221">
        <f>F5+F19</f>
        <v>68165</v>
      </c>
      <c r="E45" s="220">
        <f>G5+G19</f>
        <v>4627</v>
      </c>
      <c r="F45" s="242">
        <f>H5+H19</f>
        <v>63538</v>
      </c>
      <c r="G45" s="236" t="s">
        <v>137</v>
      </c>
      <c r="H45" s="237" t="s">
        <v>139</v>
      </c>
      <c r="I45" s="238" t="s">
        <v>140</v>
      </c>
      <c r="K45" s="211" t="s">
        <v>207</v>
      </c>
    </row>
    <row r="46" spans="1:9" ht="9" customHeight="1">
      <c r="A46" s="216"/>
      <c r="B46" s="232" t="s">
        <v>248</v>
      </c>
      <c r="C46" s="216"/>
      <c r="D46" s="216"/>
      <c r="E46" s="232" t="s">
        <v>249</v>
      </c>
      <c r="F46" s="216"/>
      <c r="G46" s="239" t="s">
        <v>138</v>
      </c>
      <c r="H46" s="207"/>
      <c r="I46" s="240" t="s">
        <v>141</v>
      </c>
    </row>
    <row r="47" spans="1:14" ht="9.75" customHeight="1">
      <c r="A47" s="236" t="s">
        <v>137</v>
      </c>
      <c r="B47" s="237" t="s">
        <v>139</v>
      </c>
      <c r="C47" s="238" t="s">
        <v>140</v>
      </c>
      <c r="D47" s="236" t="s">
        <v>137</v>
      </c>
      <c r="E47" s="237" t="s">
        <v>139</v>
      </c>
      <c r="F47" s="238" t="s">
        <v>140</v>
      </c>
      <c r="G47" s="221">
        <f>F8+H31</f>
        <v>26521</v>
      </c>
      <c r="H47" s="220">
        <f>G8</f>
        <v>440</v>
      </c>
      <c r="I47" s="242">
        <f>G47-H47</f>
        <v>26081</v>
      </c>
      <c r="K47" s="211" t="s">
        <v>209</v>
      </c>
      <c r="N47" s="231">
        <f>C45+F45+C49+F49+I47</f>
        <v>171767</v>
      </c>
    </row>
    <row r="48" spans="1:9" ht="9.75" customHeight="1">
      <c r="A48" s="239" t="s">
        <v>138</v>
      </c>
      <c r="B48" s="207"/>
      <c r="C48" s="240" t="s">
        <v>141</v>
      </c>
      <c r="D48" s="239" t="s">
        <v>138</v>
      </c>
      <c r="E48" s="207"/>
      <c r="F48" s="240" t="s">
        <v>141</v>
      </c>
      <c r="G48" s="217"/>
      <c r="H48" s="243"/>
      <c r="I48" s="217"/>
    </row>
    <row r="49" spans="1:15" ht="9.75" customHeight="1">
      <c r="A49" s="221">
        <f>F6+H25</f>
        <v>64325</v>
      </c>
      <c r="B49" s="220">
        <f>G22+accumulateurs+G24+G6</f>
        <v>2834</v>
      </c>
      <c r="C49" s="242">
        <f>A49-B49</f>
        <v>61491</v>
      </c>
      <c r="D49" s="221">
        <f>F7</f>
        <v>12614</v>
      </c>
      <c r="E49" s="220">
        <f>G7</f>
        <v>3678</v>
      </c>
      <c r="F49" s="242">
        <f>D49-E49</f>
        <v>8936</v>
      </c>
      <c r="J49" s="207"/>
      <c r="K49" s="211" t="s">
        <v>245</v>
      </c>
      <c r="L49" s="207"/>
      <c r="M49" s="207"/>
      <c r="O49" s="231">
        <f>K8+N41</f>
        <v>89040</v>
      </c>
    </row>
    <row r="50" ht="9" customHeight="1"/>
    <row r="51" ht="9" customHeight="1">
      <c r="H51" s="211"/>
    </row>
    <row r="52" ht="9" customHeight="1"/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4"/>
  <headerFooter alignWithMargins="0">
    <oddHeader>&amp;LDe Ski&amp;C&amp;A&amp;R&amp;D</oddHeader>
    <oddFooter>&amp;C&amp;F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2"/>
  <dimension ref="A1:U44"/>
  <sheetViews>
    <sheetView showZeros="0" workbookViewId="0" topLeftCell="F13">
      <selection activeCell="T36" sqref="T36"/>
    </sheetView>
  </sheetViews>
  <sheetFormatPr defaultColWidth="11.421875" defaultRowHeight="9.75" customHeight="1"/>
  <cols>
    <col min="1" max="1" width="5.28125" style="3" customWidth="1"/>
    <col min="2" max="2" width="5.421875" style="3" customWidth="1"/>
    <col min="3" max="3" width="6.7109375" style="3" customWidth="1"/>
    <col min="4" max="4" width="5.8515625" style="3" customWidth="1"/>
    <col min="5" max="5" width="6.7109375" style="3" customWidth="1"/>
    <col min="6" max="6" width="6.140625" style="3" customWidth="1"/>
    <col min="7" max="7" width="6.7109375" style="3" customWidth="1"/>
    <col min="8" max="8" width="6.00390625" style="3" customWidth="1"/>
    <col min="9" max="12" width="6.7109375" style="3" customWidth="1"/>
    <col min="13" max="13" width="6.421875" style="3" customWidth="1"/>
    <col min="14" max="15" width="6.7109375" style="3" customWidth="1"/>
    <col min="16" max="16" width="5.7109375" style="3" customWidth="1"/>
    <col min="17" max="17" width="5.140625" style="3" customWidth="1"/>
    <col min="18" max="19" width="6.7109375" style="3" customWidth="1"/>
    <col min="20" max="20" width="9.00390625" style="3" customWidth="1"/>
    <col min="21" max="16384" width="6.7109375" style="3" customWidth="1"/>
  </cols>
  <sheetData>
    <row r="1" spans="1:21" ht="35.25" customHeight="1">
      <c r="A1" s="55" t="s">
        <v>113</v>
      </c>
      <c r="B1" s="2" t="s">
        <v>90</v>
      </c>
      <c r="C1" s="54" t="s">
        <v>91</v>
      </c>
      <c r="D1" s="54" t="s">
        <v>92</v>
      </c>
      <c r="E1" s="54" t="s">
        <v>93</v>
      </c>
      <c r="F1" s="54" t="s">
        <v>94</v>
      </c>
      <c r="G1" s="54" t="s">
        <v>95</v>
      </c>
      <c r="H1" s="54" t="s">
        <v>96</v>
      </c>
      <c r="I1" s="54" t="s">
        <v>97</v>
      </c>
      <c r="J1" s="54" t="s">
        <v>98</v>
      </c>
      <c r="K1" s="54" t="s">
        <v>99</v>
      </c>
      <c r="L1" s="54" t="s">
        <v>100</v>
      </c>
      <c r="M1" s="54" t="s">
        <v>101</v>
      </c>
      <c r="N1" s="54" t="s">
        <v>102</v>
      </c>
      <c r="O1" s="54" t="s">
        <v>103</v>
      </c>
      <c r="P1" s="54" t="s">
        <v>104</v>
      </c>
      <c r="Q1" s="54" t="s">
        <v>105</v>
      </c>
      <c r="R1" s="54" t="s">
        <v>106</v>
      </c>
      <c r="S1" s="53" t="s">
        <v>114</v>
      </c>
      <c r="T1" s="55" t="s">
        <v>108</v>
      </c>
      <c r="U1" s="56"/>
    </row>
    <row r="2" spans="1:18" ht="9.75" customHeight="1">
      <c r="A2" s="4">
        <v>17</v>
      </c>
      <c r="B2" s="14"/>
      <c r="D2" s="3">
        <v>300</v>
      </c>
      <c r="E2" s="3">
        <v>0</v>
      </c>
      <c r="G2" s="3">
        <v>0</v>
      </c>
      <c r="I2" s="3">
        <v>114</v>
      </c>
      <c r="J2" s="3">
        <v>515</v>
      </c>
      <c r="L2" s="3">
        <v>556</v>
      </c>
      <c r="N2" s="3">
        <v>300</v>
      </c>
      <c r="O2" s="3">
        <v>70</v>
      </c>
      <c r="Q2" s="3">
        <v>0</v>
      </c>
      <c r="R2" s="3">
        <v>120</v>
      </c>
    </row>
    <row r="3" spans="2:20" ht="9.75" customHeight="1">
      <c r="B3" s="15"/>
      <c r="D3" s="3">
        <v>0</v>
      </c>
      <c r="G3" s="3">
        <v>0</v>
      </c>
      <c r="I3" s="3">
        <v>394</v>
      </c>
      <c r="J3" s="3">
        <v>566</v>
      </c>
      <c r="L3" s="3">
        <v>0</v>
      </c>
      <c r="T3" s="4">
        <f>T41</f>
        <v>11579</v>
      </c>
    </row>
    <row r="4" spans="2:10" ht="9.75" customHeight="1">
      <c r="B4" s="15"/>
      <c r="G4" s="3">
        <v>0</v>
      </c>
      <c r="I4" s="3">
        <v>391</v>
      </c>
      <c r="J4" s="3">
        <v>538</v>
      </c>
    </row>
    <row r="5" spans="1:20" ht="9.75" customHeight="1">
      <c r="A5" s="3">
        <v>17</v>
      </c>
      <c r="B5" s="15"/>
      <c r="I5" s="3">
        <v>0</v>
      </c>
      <c r="T5" s="59"/>
    </row>
    <row r="6" spans="1:20" ht="9.75" customHeight="1">
      <c r="A6" s="4">
        <v>18</v>
      </c>
      <c r="B6" s="15"/>
      <c r="I6" s="3">
        <v>0</v>
      </c>
      <c r="T6" s="7"/>
    </row>
    <row r="7" spans="1:20" ht="9.75" customHeight="1">
      <c r="A7" s="16"/>
      <c r="B7" s="57"/>
      <c r="C7" s="16"/>
      <c r="D7" s="16">
        <f>SUM(D2:D6)</f>
        <v>300</v>
      </c>
      <c r="E7" s="16">
        <f>SUM(E2:E6)</f>
        <v>0</v>
      </c>
      <c r="F7" s="16">
        <f aca="true" t="shared" si="0" ref="F7:R7">SUM(F2:F6)</f>
        <v>0</v>
      </c>
      <c r="G7" s="16">
        <f t="shared" si="0"/>
        <v>0</v>
      </c>
      <c r="H7" s="16">
        <f t="shared" si="0"/>
        <v>0</v>
      </c>
      <c r="I7" s="16">
        <f t="shared" si="0"/>
        <v>899</v>
      </c>
      <c r="J7" s="16">
        <f t="shared" si="0"/>
        <v>1619</v>
      </c>
      <c r="K7" s="16">
        <f t="shared" si="0"/>
        <v>0</v>
      </c>
      <c r="L7" s="16">
        <f t="shared" si="0"/>
        <v>556</v>
      </c>
      <c r="M7" s="16">
        <f t="shared" si="0"/>
        <v>0</v>
      </c>
      <c r="N7" s="16">
        <f t="shared" si="0"/>
        <v>300</v>
      </c>
      <c r="O7" s="16">
        <f t="shared" si="0"/>
        <v>70</v>
      </c>
      <c r="P7" s="16">
        <f t="shared" si="0"/>
        <v>0</v>
      </c>
      <c r="Q7" s="16">
        <f t="shared" si="0"/>
        <v>0</v>
      </c>
      <c r="R7" s="16">
        <f t="shared" si="0"/>
        <v>120</v>
      </c>
      <c r="S7" s="18">
        <f>SUM(D7:R7)</f>
        <v>3864</v>
      </c>
      <c r="T7" s="60"/>
    </row>
    <row r="8" spans="1:19" ht="9.75" customHeight="1">
      <c r="A8" s="4">
        <v>19</v>
      </c>
      <c r="B8" s="15">
        <v>0</v>
      </c>
      <c r="C8" s="7">
        <v>0</v>
      </c>
      <c r="D8" s="7">
        <v>180</v>
      </c>
      <c r="E8" s="7">
        <v>60</v>
      </c>
      <c r="F8" s="7">
        <v>0</v>
      </c>
      <c r="G8" s="7">
        <v>40</v>
      </c>
      <c r="H8" s="7">
        <v>80</v>
      </c>
      <c r="I8" s="7">
        <v>417</v>
      </c>
      <c r="J8" s="7">
        <v>533</v>
      </c>
      <c r="K8" s="7">
        <v>0</v>
      </c>
      <c r="L8" s="7">
        <v>200</v>
      </c>
      <c r="M8" s="7">
        <v>100</v>
      </c>
      <c r="N8" s="7">
        <v>800</v>
      </c>
      <c r="O8" s="7">
        <v>140</v>
      </c>
      <c r="P8" s="7">
        <v>0</v>
      </c>
      <c r="Q8" s="7">
        <v>20</v>
      </c>
      <c r="R8" s="7">
        <v>140</v>
      </c>
      <c r="S8" s="4"/>
    </row>
    <row r="9" spans="1:19" ht="9.75" customHeight="1">
      <c r="A9" s="4">
        <v>19</v>
      </c>
      <c r="B9" s="15">
        <v>0</v>
      </c>
      <c r="C9" s="7">
        <v>0</v>
      </c>
      <c r="D9" s="7">
        <v>175</v>
      </c>
      <c r="E9" s="7">
        <v>0</v>
      </c>
      <c r="F9" s="7">
        <v>0</v>
      </c>
      <c r="G9" s="7">
        <v>0</v>
      </c>
      <c r="H9" s="7">
        <v>0</v>
      </c>
      <c r="I9" s="7">
        <v>404</v>
      </c>
      <c r="J9" s="7">
        <v>566</v>
      </c>
      <c r="K9" s="7">
        <v>0</v>
      </c>
      <c r="L9" s="7">
        <v>400</v>
      </c>
      <c r="M9" s="7">
        <v>0</v>
      </c>
      <c r="N9" s="7"/>
      <c r="O9" s="7">
        <v>70</v>
      </c>
      <c r="P9" s="7">
        <v>0</v>
      </c>
      <c r="Q9" s="7">
        <v>40</v>
      </c>
      <c r="R9" s="7">
        <v>0</v>
      </c>
      <c r="S9" s="4"/>
    </row>
    <row r="10" spans="1:19" ht="9.75" customHeight="1">
      <c r="A10" s="4">
        <v>19</v>
      </c>
      <c r="B10" s="15">
        <v>0</v>
      </c>
      <c r="C10" s="7">
        <v>0</v>
      </c>
      <c r="D10" s="7">
        <v>518</v>
      </c>
      <c r="E10" s="7">
        <v>0</v>
      </c>
      <c r="F10" s="7">
        <v>0</v>
      </c>
      <c r="G10" s="7">
        <v>0</v>
      </c>
      <c r="H10" s="7">
        <v>0</v>
      </c>
      <c r="I10" s="7">
        <v>369</v>
      </c>
      <c r="J10" s="3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4"/>
    </row>
    <row r="11" spans="1:19" ht="9.75" customHeight="1">
      <c r="A11" s="4">
        <v>19</v>
      </c>
      <c r="B11" s="15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400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4"/>
    </row>
    <row r="12" spans="1:19" ht="9.75" customHeight="1">
      <c r="A12" s="4">
        <v>19</v>
      </c>
      <c r="B12" s="15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3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4"/>
    </row>
    <row r="13" spans="1:19" ht="9.75" customHeight="1">
      <c r="A13" s="81">
        <v>19</v>
      </c>
      <c r="B13" s="57">
        <f>SUM(B8:B12)</f>
        <v>0</v>
      </c>
      <c r="C13" s="16">
        <f aca="true" t="shared" si="1" ref="C13:R13">SUM(C8:C12)</f>
        <v>0</v>
      </c>
      <c r="D13" s="16">
        <f t="shared" si="1"/>
        <v>873</v>
      </c>
      <c r="E13" s="16">
        <f t="shared" si="1"/>
        <v>60</v>
      </c>
      <c r="F13" s="16">
        <f t="shared" si="1"/>
        <v>0</v>
      </c>
      <c r="G13" s="16">
        <f t="shared" si="1"/>
        <v>40</v>
      </c>
      <c r="H13" s="16">
        <f t="shared" si="1"/>
        <v>80</v>
      </c>
      <c r="I13" s="16">
        <f>SUM(I8:I12)</f>
        <v>1590</v>
      </c>
      <c r="J13" s="16">
        <f t="shared" si="1"/>
        <v>1099</v>
      </c>
      <c r="K13" s="16">
        <f t="shared" si="1"/>
        <v>0</v>
      </c>
      <c r="L13" s="16">
        <f t="shared" si="1"/>
        <v>600</v>
      </c>
      <c r="M13" s="16">
        <f t="shared" si="1"/>
        <v>100</v>
      </c>
      <c r="N13" s="16">
        <f t="shared" si="1"/>
        <v>800</v>
      </c>
      <c r="O13" s="16">
        <f t="shared" si="1"/>
        <v>210</v>
      </c>
      <c r="P13" s="16">
        <f t="shared" si="1"/>
        <v>0</v>
      </c>
      <c r="Q13" s="16">
        <f t="shared" si="1"/>
        <v>60</v>
      </c>
      <c r="R13" s="16">
        <f t="shared" si="1"/>
        <v>140</v>
      </c>
      <c r="S13" s="18">
        <f>SUM(B13:R13)</f>
        <v>5652</v>
      </c>
    </row>
    <row r="14" spans="1:19" ht="9.75" customHeight="1">
      <c r="A14" s="4">
        <v>20</v>
      </c>
      <c r="B14" s="15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400</v>
      </c>
      <c r="J14" s="7">
        <v>0</v>
      </c>
      <c r="K14" s="7">
        <v>0</v>
      </c>
      <c r="L14" s="7">
        <v>160</v>
      </c>
      <c r="M14" s="7">
        <v>0</v>
      </c>
      <c r="N14" s="7">
        <v>300</v>
      </c>
      <c r="O14" s="7">
        <v>0</v>
      </c>
      <c r="P14" s="7">
        <v>0</v>
      </c>
      <c r="Q14" s="7">
        <v>0</v>
      </c>
      <c r="R14" s="7">
        <v>0</v>
      </c>
      <c r="S14" s="4"/>
    </row>
    <row r="15" spans="1:19" ht="9.75" customHeight="1">
      <c r="A15" s="4">
        <v>20</v>
      </c>
      <c r="B15" s="15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4"/>
    </row>
    <row r="16" spans="1:20" ht="9.75" customHeight="1">
      <c r="A16" s="4">
        <v>20</v>
      </c>
      <c r="B16" s="15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4"/>
      <c r="T16" s="11"/>
    </row>
    <row r="17" spans="1:19" ht="9.75" customHeight="1">
      <c r="A17" s="4">
        <v>20</v>
      </c>
      <c r="B17" s="15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4"/>
    </row>
    <row r="18" spans="1:19" ht="9.75" customHeight="1">
      <c r="A18" s="4">
        <v>20</v>
      </c>
      <c r="B18" s="15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4"/>
    </row>
    <row r="19" spans="1:19" ht="9.75" customHeight="1">
      <c r="A19" s="4">
        <v>20</v>
      </c>
      <c r="B19" s="15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4"/>
    </row>
    <row r="20" spans="1:19" ht="9.75" customHeight="1">
      <c r="A20" s="11"/>
      <c r="B20" s="57">
        <f>SUM(B14:B19)</f>
        <v>0</v>
      </c>
      <c r="C20" s="16">
        <f aca="true" t="shared" si="2" ref="C20:R20">SUM(C14:C19)</f>
        <v>0</v>
      </c>
      <c r="D20" s="16">
        <f t="shared" si="2"/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>SUM(I14:I19)</f>
        <v>400</v>
      </c>
      <c r="J20" s="16">
        <f>SUM(J14:J19)</f>
        <v>0</v>
      </c>
      <c r="K20" s="16">
        <f t="shared" si="2"/>
        <v>0</v>
      </c>
      <c r="L20" s="16">
        <f t="shared" si="2"/>
        <v>160</v>
      </c>
      <c r="M20" s="16">
        <f t="shared" si="2"/>
        <v>0</v>
      </c>
      <c r="N20" s="16">
        <f t="shared" si="2"/>
        <v>300</v>
      </c>
      <c r="O20" s="16">
        <f t="shared" si="2"/>
        <v>0</v>
      </c>
      <c r="P20" s="16">
        <f t="shared" si="2"/>
        <v>0</v>
      </c>
      <c r="Q20" s="16">
        <f t="shared" si="2"/>
        <v>0</v>
      </c>
      <c r="R20" s="16">
        <f t="shared" si="2"/>
        <v>0</v>
      </c>
      <c r="S20" s="18">
        <f>SUM(B20:R20)</f>
        <v>860</v>
      </c>
    </row>
    <row r="21" spans="1:19" ht="9.75" customHeight="1">
      <c r="A21" s="4">
        <v>21</v>
      </c>
      <c r="B21" s="15">
        <v>0</v>
      </c>
      <c r="C21" s="7">
        <v>0</v>
      </c>
      <c r="D21" s="7">
        <v>50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120</v>
      </c>
      <c r="K21" s="7">
        <v>0</v>
      </c>
      <c r="L21" s="7">
        <v>100</v>
      </c>
      <c r="M21" s="7">
        <v>0</v>
      </c>
      <c r="N21" s="7">
        <v>0</v>
      </c>
      <c r="O21" s="7">
        <v>70</v>
      </c>
      <c r="P21" s="7">
        <v>0</v>
      </c>
      <c r="Q21" s="7">
        <v>20</v>
      </c>
      <c r="R21" s="7">
        <v>80</v>
      </c>
      <c r="S21" s="4"/>
    </row>
    <row r="22" spans="1:19" ht="9.75" customHeight="1">
      <c r="A22" s="4">
        <v>21</v>
      </c>
      <c r="B22" s="15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4"/>
    </row>
    <row r="23" spans="1:19" ht="9.75" customHeight="1">
      <c r="A23" s="4">
        <v>21</v>
      </c>
      <c r="B23" s="15">
        <v>0</v>
      </c>
      <c r="C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4"/>
    </row>
    <row r="24" spans="1:18" ht="9.75" customHeight="1">
      <c r="A24" s="4">
        <v>21</v>
      </c>
      <c r="B24" s="15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</row>
    <row r="25" spans="1:18" ht="9.75" customHeight="1">
      <c r="A25" s="4">
        <v>21</v>
      </c>
      <c r="B25" s="15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</row>
    <row r="26" spans="1:18" ht="9.75" customHeight="1">
      <c r="A26" s="4">
        <v>21</v>
      </c>
      <c r="B26" s="15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</row>
    <row r="27" spans="1:18" ht="9.75" customHeight="1">
      <c r="A27" s="4">
        <v>21</v>
      </c>
      <c r="B27" s="15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</row>
    <row r="28" spans="1:19" ht="9.75" customHeight="1">
      <c r="A28" s="11"/>
      <c r="B28" s="57">
        <f>SUM(B21:B27)</f>
        <v>0</v>
      </c>
      <c r="C28" s="16">
        <f>SUM(C21:C27)</f>
        <v>0</v>
      </c>
      <c r="D28" s="16">
        <f>SUM(D21:D27)</f>
        <v>50</v>
      </c>
      <c r="E28" s="16">
        <f aca="true" t="shared" si="3" ref="E28:J28">SUM(E21:E27)</f>
        <v>0</v>
      </c>
      <c r="F28" s="16">
        <f t="shared" si="3"/>
        <v>0</v>
      </c>
      <c r="G28" s="16">
        <f t="shared" si="3"/>
        <v>0</v>
      </c>
      <c r="H28" s="16">
        <f t="shared" si="3"/>
        <v>0</v>
      </c>
      <c r="I28" s="16">
        <f t="shared" si="3"/>
        <v>0</v>
      </c>
      <c r="J28" s="16">
        <f t="shared" si="3"/>
        <v>120</v>
      </c>
      <c r="K28" s="16">
        <v>0</v>
      </c>
      <c r="L28" s="16">
        <f>SUM(L21:L27)</f>
        <v>100</v>
      </c>
      <c r="M28" s="16">
        <v>0</v>
      </c>
      <c r="N28" s="16">
        <v>0</v>
      </c>
      <c r="O28" s="16">
        <f>SUM(O21:O27)</f>
        <v>70</v>
      </c>
      <c r="P28" s="16">
        <f>SUM(P21:P27)</f>
        <v>0</v>
      </c>
      <c r="Q28" s="16">
        <f>SUM(Q21:Q27)</f>
        <v>20</v>
      </c>
      <c r="R28" s="16">
        <f>SUM(R21:R27)</f>
        <v>80</v>
      </c>
      <c r="S28" s="18">
        <f>SUM(B28:R28)</f>
        <v>440</v>
      </c>
    </row>
    <row r="29" spans="1:19" ht="9.75" customHeight="1">
      <c r="A29" s="4"/>
      <c r="B29" s="15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4"/>
    </row>
    <row r="30" spans="1:19" ht="9.75" customHeight="1">
      <c r="A30" s="4"/>
      <c r="B30" s="15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4"/>
    </row>
    <row r="31" spans="1:19" ht="9.75" customHeight="1">
      <c r="A31" s="4"/>
      <c r="B31" s="15">
        <v>0</v>
      </c>
      <c r="C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4"/>
    </row>
    <row r="32" spans="1:18" ht="9.75" customHeight="1">
      <c r="A32" s="4"/>
      <c r="B32" s="15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</row>
    <row r="33" spans="1:20" ht="9.75" customHeight="1">
      <c r="A33" s="4"/>
      <c r="B33" s="15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T33" s="9" t="s">
        <v>115</v>
      </c>
    </row>
    <row r="34" spans="1:20" ht="9.75" customHeight="1">
      <c r="A34" s="8" t="s">
        <v>296</v>
      </c>
      <c r="B34" s="7"/>
      <c r="C34" s="7"/>
      <c r="D34" s="7">
        <f>D7+D13+D28</f>
        <v>1223</v>
      </c>
      <c r="E34" s="7">
        <f aca="true" t="shared" si="4" ref="E34:R34">E7+E13+E28</f>
        <v>60</v>
      </c>
      <c r="F34" s="7">
        <f t="shared" si="4"/>
        <v>0</v>
      </c>
      <c r="G34" s="7">
        <f t="shared" si="4"/>
        <v>40</v>
      </c>
      <c r="H34" s="7">
        <f t="shared" si="4"/>
        <v>80</v>
      </c>
      <c r="I34" s="7">
        <f t="shared" si="4"/>
        <v>2489</v>
      </c>
      <c r="J34" s="7">
        <f t="shared" si="4"/>
        <v>2838</v>
      </c>
      <c r="K34" s="7">
        <f t="shared" si="4"/>
        <v>0</v>
      </c>
      <c r="L34" s="7">
        <f t="shared" si="4"/>
        <v>1256</v>
      </c>
      <c r="M34" s="7">
        <f t="shared" si="4"/>
        <v>100</v>
      </c>
      <c r="N34" s="7">
        <f t="shared" si="4"/>
        <v>1100</v>
      </c>
      <c r="O34" s="7">
        <f t="shared" si="4"/>
        <v>350</v>
      </c>
      <c r="P34" s="7">
        <f t="shared" si="4"/>
        <v>0</v>
      </c>
      <c r="Q34" s="7">
        <f t="shared" si="4"/>
        <v>80</v>
      </c>
      <c r="R34" s="7">
        <f t="shared" si="4"/>
        <v>340</v>
      </c>
      <c r="S34" s="18">
        <f>SUM(D34:R34)</f>
        <v>9956</v>
      </c>
      <c r="T34" s="9">
        <f>S7</f>
        <v>3864</v>
      </c>
    </row>
    <row r="35" spans="1:20" ht="9.75" customHeight="1">
      <c r="A35" s="4"/>
      <c r="B35" s="15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T35" s="9">
        <f>S13</f>
        <v>5652</v>
      </c>
    </row>
    <row r="36" spans="1:20" ht="9.75" customHeight="1">
      <c r="A36" s="11"/>
      <c r="B36" s="57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T36" s="10">
        <f>S20</f>
        <v>860</v>
      </c>
    </row>
    <row r="37" spans="2:20" ht="9.75" customHeight="1">
      <c r="B37" s="15"/>
      <c r="N37" s="3">
        <v>0</v>
      </c>
      <c r="T37" s="10">
        <f>S28</f>
        <v>440</v>
      </c>
    </row>
    <row r="38" spans="2:20" ht="9.75" customHeight="1">
      <c r="B38" s="15"/>
      <c r="T38" s="9"/>
    </row>
    <row r="39" spans="2:20" ht="9.75" customHeight="1">
      <c r="B39" s="8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3" t="s">
        <v>116</v>
      </c>
      <c r="T39" s="58">
        <f>SUM(T34:T38)</f>
        <v>10816</v>
      </c>
    </row>
    <row r="40" spans="2:20" ht="9.75" customHeight="1">
      <c r="B40" s="1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11" t="s">
        <v>117</v>
      </c>
      <c r="T40" s="58">
        <f>'bdoCH RT Mai98'!$T$39</f>
        <v>763</v>
      </c>
    </row>
    <row r="41" spans="2:20" ht="9.75" customHeight="1">
      <c r="B41" s="15"/>
      <c r="S41" s="4" t="s">
        <v>118</v>
      </c>
      <c r="T41" s="4">
        <f>SUM(T39:T40)</f>
        <v>11579</v>
      </c>
    </row>
    <row r="42" ht="9.75" customHeight="1">
      <c r="B42" s="15"/>
    </row>
    <row r="43" ht="9.75" customHeight="1">
      <c r="B43" s="15"/>
    </row>
    <row r="44" ht="9.75" customHeight="1">
      <c r="B44" s="15"/>
    </row>
  </sheetData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&amp;LKitenge Somwé&amp;CPage &amp;P&amp;R&amp;D</oddHeader>
    <oddFooter>&amp;C&amp;F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3"/>
  <dimension ref="A1:U44"/>
  <sheetViews>
    <sheetView showZeros="0" workbookViewId="0" topLeftCell="A1">
      <selection activeCell="A1" sqref="A1"/>
    </sheetView>
  </sheetViews>
  <sheetFormatPr defaultColWidth="11.421875" defaultRowHeight="9.75" customHeight="1"/>
  <cols>
    <col min="1" max="2" width="5.28125" style="3" customWidth="1"/>
    <col min="3" max="3" width="6.7109375" style="3" customWidth="1"/>
    <col min="4" max="4" width="6.140625" style="3" customWidth="1"/>
    <col min="5" max="5" width="6.7109375" style="3" customWidth="1"/>
    <col min="6" max="6" width="6.28125" style="3" customWidth="1"/>
    <col min="7" max="7" width="6.7109375" style="3" customWidth="1"/>
    <col min="8" max="8" width="5.8515625" style="3" customWidth="1"/>
    <col min="9" max="12" width="6.7109375" style="3" customWidth="1"/>
    <col min="13" max="13" width="6.140625" style="3" customWidth="1"/>
    <col min="14" max="15" width="6.7109375" style="3" customWidth="1"/>
    <col min="16" max="16" width="5.8515625" style="3" customWidth="1"/>
    <col min="17" max="17" width="5.28125" style="3" customWidth="1"/>
    <col min="18" max="18" width="6.7109375" style="3" customWidth="1"/>
    <col min="19" max="19" width="6.28125" style="3" customWidth="1"/>
    <col min="20" max="20" width="8.28125" style="3" customWidth="1"/>
    <col min="21" max="16384" width="6.7109375" style="3" customWidth="1"/>
  </cols>
  <sheetData>
    <row r="1" spans="1:21" ht="44.25" customHeight="1">
      <c r="A1" s="55" t="s">
        <v>135</v>
      </c>
      <c r="B1" s="2" t="s">
        <v>90</v>
      </c>
      <c r="C1" s="54" t="s">
        <v>91</v>
      </c>
      <c r="D1" s="54" t="s">
        <v>92</v>
      </c>
      <c r="E1" s="54" t="s">
        <v>93</v>
      </c>
      <c r="F1" s="54" t="s">
        <v>94</v>
      </c>
      <c r="G1" s="54" t="s">
        <v>95</v>
      </c>
      <c r="H1" s="54" t="s">
        <v>96</v>
      </c>
      <c r="I1" s="54" t="s">
        <v>97</v>
      </c>
      <c r="J1" s="54" t="s">
        <v>98</v>
      </c>
      <c r="K1" s="54" t="s">
        <v>99</v>
      </c>
      <c r="L1" s="54" t="s">
        <v>100</v>
      </c>
      <c r="M1" s="54" t="s">
        <v>101</v>
      </c>
      <c r="N1" s="54" t="s">
        <v>102</v>
      </c>
      <c r="O1" s="54" t="s">
        <v>103</v>
      </c>
      <c r="P1" s="54" t="s">
        <v>104</v>
      </c>
      <c r="Q1" s="54" t="s">
        <v>105</v>
      </c>
      <c r="R1" s="54" t="s">
        <v>106</v>
      </c>
      <c r="S1" s="53" t="s">
        <v>107</v>
      </c>
      <c r="T1" s="55" t="s">
        <v>108</v>
      </c>
      <c r="U1" s="56"/>
    </row>
    <row r="2" spans="1:20" ht="9.75" customHeight="1">
      <c r="A2" s="4">
        <v>18</v>
      </c>
      <c r="B2" s="7">
        <v>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443</v>
      </c>
      <c r="J2" s="7">
        <v>0</v>
      </c>
      <c r="K2" s="7">
        <v>0</v>
      </c>
      <c r="L2" s="7">
        <v>0</v>
      </c>
      <c r="M2" s="7">
        <v>0</v>
      </c>
      <c r="N2" s="7">
        <v>200</v>
      </c>
      <c r="O2" s="7">
        <v>0</v>
      </c>
      <c r="P2" s="7">
        <v>0</v>
      </c>
      <c r="Q2" s="7">
        <v>0</v>
      </c>
      <c r="R2" s="7">
        <v>120</v>
      </c>
      <c r="T2" s="1">
        <f>T41</f>
        <v>11579</v>
      </c>
    </row>
    <row r="3" spans="1:18" ht="9.75" customHeight="1">
      <c r="A3" s="4">
        <v>18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</row>
    <row r="4" spans="1:20" ht="9.75" customHeight="1">
      <c r="A4" s="16"/>
      <c r="B4" s="16">
        <f aca="true" t="shared" si="0" ref="B4:R4">SUM(B2:B3)</f>
        <v>0</v>
      </c>
      <c r="C4" s="16">
        <f t="shared" si="0"/>
        <v>0</v>
      </c>
      <c r="D4" s="16">
        <f t="shared" si="0"/>
        <v>0</v>
      </c>
      <c r="E4" s="16">
        <f t="shared" si="0"/>
        <v>0</v>
      </c>
      <c r="F4" s="16">
        <f t="shared" si="0"/>
        <v>0</v>
      </c>
      <c r="G4" s="16">
        <f t="shared" si="0"/>
        <v>0</v>
      </c>
      <c r="H4" s="16">
        <f t="shared" si="0"/>
        <v>0</v>
      </c>
      <c r="I4" s="16">
        <f t="shared" si="0"/>
        <v>443</v>
      </c>
      <c r="J4" s="16">
        <f t="shared" si="0"/>
        <v>0</v>
      </c>
      <c r="K4" s="16">
        <f t="shared" si="0"/>
        <v>0</v>
      </c>
      <c r="L4" s="16">
        <f t="shared" si="0"/>
        <v>0</v>
      </c>
      <c r="M4" s="16">
        <f t="shared" si="0"/>
        <v>0</v>
      </c>
      <c r="N4" s="16">
        <f t="shared" si="0"/>
        <v>200</v>
      </c>
      <c r="O4" s="16">
        <f t="shared" si="0"/>
        <v>0</v>
      </c>
      <c r="P4" s="16">
        <f t="shared" si="0"/>
        <v>0</v>
      </c>
      <c r="Q4" s="16">
        <f t="shared" si="0"/>
        <v>0</v>
      </c>
      <c r="R4" s="16">
        <f t="shared" si="0"/>
        <v>120</v>
      </c>
      <c r="S4" s="18">
        <f>SUM(B4:R4)</f>
        <v>763</v>
      </c>
      <c r="T4" s="11"/>
    </row>
    <row r="5" spans="1:18" ht="9.75" customHeight="1">
      <c r="A5" s="4">
        <v>19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</row>
    <row r="6" spans="1:18" ht="9.75" customHeight="1">
      <c r="A6" s="4">
        <v>19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</row>
    <row r="7" spans="1:18" ht="9.75" customHeight="1">
      <c r="A7" s="4">
        <v>19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</row>
    <row r="8" spans="1:18" ht="9.75" customHeight="1">
      <c r="A8" s="4">
        <v>19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</row>
    <row r="9" spans="1:19" ht="9.75" customHeight="1">
      <c r="A9" s="4">
        <v>19</v>
      </c>
      <c r="B9" s="16">
        <f>SUM(B5:B8)</f>
        <v>0</v>
      </c>
      <c r="C9" s="16">
        <f aca="true" t="shared" si="1" ref="C9:R9">SUM(C5:C8)</f>
        <v>0</v>
      </c>
      <c r="D9" s="16">
        <f t="shared" si="1"/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16">
        <f t="shared" si="1"/>
        <v>0</v>
      </c>
      <c r="M9" s="16">
        <f t="shared" si="1"/>
        <v>0</v>
      </c>
      <c r="N9" s="16">
        <f t="shared" si="1"/>
        <v>0</v>
      </c>
      <c r="O9" s="16">
        <f t="shared" si="1"/>
        <v>0</v>
      </c>
      <c r="P9" s="16">
        <f t="shared" si="1"/>
        <v>0</v>
      </c>
      <c r="Q9" s="16">
        <f t="shared" si="1"/>
        <v>0</v>
      </c>
      <c r="R9" s="16">
        <f t="shared" si="1"/>
        <v>0</v>
      </c>
      <c r="S9" s="18">
        <f>SUM(B9:R9)</f>
        <v>0</v>
      </c>
    </row>
    <row r="10" spans="1:18" ht="9.75" customHeight="1">
      <c r="A10" s="4">
        <v>20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</row>
    <row r="11" spans="1:18" ht="9.75" customHeight="1">
      <c r="A11" s="4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</row>
    <row r="12" spans="1:20" ht="9.75" customHeight="1">
      <c r="A12" s="4">
        <v>20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T12" s="7"/>
    </row>
    <row r="13" spans="1:18" ht="9.75" customHeight="1">
      <c r="A13" s="4">
        <v>20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</row>
    <row r="14" spans="1:18" ht="9.75" customHeight="1">
      <c r="A14" s="4">
        <v>20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1:19" ht="9.75" customHeight="1">
      <c r="A15" s="16"/>
      <c r="B15" s="16">
        <f>SUM(B10:B14)</f>
        <v>0</v>
      </c>
      <c r="C15" s="16">
        <f aca="true" t="shared" si="2" ref="C15:R15">SUM(C10:C14)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 t="shared" si="2"/>
        <v>0</v>
      </c>
      <c r="M15" s="16">
        <f t="shared" si="2"/>
        <v>0</v>
      </c>
      <c r="N15" s="16">
        <f t="shared" si="2"/>
        <v>0</v>
      </c>
      <c r="O15" s="16">
        <f t="shared" si="2"/>
        <v>0</v>
      </c>
      <c r="P15" s="16">
        <f t="shared" si="2"/>
        <v>0</v>
      </c>
      <c r="Q15" s="16">
        <f t="shared" si="2"/>
        <v>0</v>
      </c>
      <c r="R15" s="16">
        <f t="shared" si="2"/>
        <v>0</v>
      </c>
      <c r="S15" s="18">
        <f>SUM(B15:R15)</f>
        <v>0</v>
      </c>
    </row>
    <row r="16" spans="1:18" ht="9.75" customHeight="1">
      <c r="A16" s="4">
        <v>21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</row>
    <row r="17" spans="1:18" ht="9.75" customHeight="1">
      <c r="A17" s="4">
        <v>21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</row>
    <row r="18" spans="1:19" ht="9.75" customHeight="1">
      <c r="A18" s="4">
        <v>21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4"/>
    </row>
    <row r="19" spans="1:18" ht="9.75" customHeight="1">
      <c r="A19" s="4">
        <v>21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</row>
    <row r="20" spans="1:18" ht="9.75" customHeight="1">
      <c r="A20" s="4">
        <v>21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</row>
    <row r="21" spans="1:18" ht="9.75" customHeight="1">
      <c r="A21" s="4">
        <v>21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</row>
    <row r="22" spans="1:18" ht="9.75" customHeight="1">
      <c r="A22" s="4">
        <v>21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</row>
    <row r="23" spans="1:18" ht="9.75" customHeight="1">
      <c r="A23" s="4">
        <v>21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</row>
    <row r="24" spans="1:19" ht="9.75" customHeight="1">
      <c r="A24" s="16"/>
      <c r="B24" s="11">
        <f>SUM(B16:B23)</f>
        <v>0</v>
      </c>
      <c r="C24" s="11">
        <f aca="true" t="shared" si="3" ref="C24:R24">SUM(C16:C23)</f>
        <v>0</v>
      </c>
      <c r="D24" s="11">
        <f t="shared" si="3"/>
        <v>0</v>
      </c>
      <c r="E24" s="11">
        <f t="shared" si="3"/>
        <v>0</v>
      </c>
      <c r="F24" s="11">
        <f t="shared" si="3"/>
        <v>0</v>
      </c>
      <c r="G24" s="11">
        <f t="shared" si="3"/>
        <v>0</v>
      </c>
      <c r="H24" s="11">
        <f t="shared" si="3"/>
        <v>0</v>
      </c>
      <c r="I24" s="11">
        <f t="shared" si="3"/>
        <v>0</v>
      </c>
      <c r="J24" s="11">
        <f t="shared" si="3"/>
        <v>0</v>
      </c>
      <c r="K24" s="11">
        <f t="shared" si="3"/>
        <v>0</v>
      </c>
      <c r="L24" s="11">
        <f t="shared" si="3"/>
        <v>0</v>
      </c>
      <c r="M24" s="11">
        <f t="shared" si="3"/>
        <v>0</v>
      </c>
      <c r="N24" s="11">
        <f t="shared" si="3"/>
        <v>0</v>
      </c>
      <c r="O24" s="11">
        <f t="shared" si="3"/>
        <v>0</v>
      </c>
      <c r="P24" s="11">
        <f t="shared" si="3"/>
        <v>0</v>
      </c>
      <c r="Q24" s="11">
        <f t="shared" si="3"/>
        <v>0</v>
      </c>
      <c r="R24" s="11">
        <f t="shared" si="3"/>
        <v>0</v>
      </c>
      <c r="S24" s="12">
        <f>SUM(B24:R24)</f>
        <v>0</v>
      </c>
    </row>
    <row r="25" spans="1:18" ht="9.75" customHeight="1">
      <c r="A25" s="4">
        <v>22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</row>
    <row r="26" spans="1:18" ht="9.75" customHeight="1">
      <c r="A26" s="4">
        <v>22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</row>
    <row r="27" spans="1:18" ht="9.75" customHeight="1">
      <c r="A27" s="4">
        <v>22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</row>
    <row r="28" spans="1:18" ht="9.75" customHeight="1">
      <c r="A28" s="4">
        <v>22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</row>
    <row r="29" spans="1:18" ht="9.75" customHeight="1">
      <c r="A29" s="4">
        <v>22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</row>
    <row r="30" spans="1:18" ht="9.75" customHeight="1">
      <c r="A30" s="4">
        <v>22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</row>
    <row r="31" spans="1:19" ht="9.75" customHeight="1">
      <c r="A31" s="16"/>
      <c r="B31" s="16">
        <f>SUM(B25:B30)</f>
        <v>0</v>
      </c>
      <c r="C31" s="16">
        <f aca="true" t="shared" si="4" ref="C31:R31">SUM(C25:C30)</f>
        <v>0</v>
      </c>
      <c r="D31" s="16">
        <f t="shared" si="4"/>
        <v>0</v>
      </c>
      <c r="E31" s="16">
        <f t="shared" si="4"/>
        <v>0</v>
      </c>
      <c r="F31" s="16">
        <f t="shared" si="4"/>
        <v>0</v>
      </c>
      <c r="G31" s="16">
        <f t="shared" si="4"/>
        <v>0</v>
      </c>
      <c r="H31" s="16">
        <f t="shared" si="4"/>
        <v>0</v>
      </c>
      <c r="I31" s="16">
        <f t="shared" si="4"/>
        <v>0</v>
      </c>
      <c r="J31" s="16">
        <f t="shared" si="4"/>
        <v>0</v>
      </c>
      <c r="K31" s="16">
        <f t="shared" si="4"/>
        <v>0</v>
      </c>
      <c r="L31" s="16">
        <f t="shared" si="4"/>
        <v>0</v>
      </c>
      <c r="M31" s="16">
        <f t="shared" si="4"/>
        <v>0</v>
      </c>
      <c r="N31" s="16">
        <f t="shared" si="4"/>
        <v>0</v>
      </c>
      <c r="O31" s="16">
        <f t="shared" si="4"/>
        <v>0</v>
      </c>
      <c r="P31" s="16">
        <f t="shared" si="4"/>
        <v>0</v>
      </c>
      <c r="Q31" s="16">
        <f t="shared" si="4"/>
        <v>0</v>
      </c>
      <c r="R31" s="16">
        <f t="shared" si="4"/>
        <v>0</v>
      </c>
      <c r="S31" s="18">
        <f>SUM(B31:R31)</f>
        <v>0</v>
      </c>
    </row>
    <row r="32" ht="9.75" customHeight="1">
      <c r="B32" s="15"/>
    </row>
    <row r="33" spans="2:20" ht="9.75" customHeight="1">
      <c r="B33" s="15"/>
      <c r="S33" s="4"/>
      <c r="T33" s="9" t="s">
        <v>109</v>
      </c>
    </row>
    <row r="34" spans="2:20" ht="9.75" customHeight="1">
      <c r="B34" s="15"/>
      <c r="T34" s="9">
        <f>S4</f>
        <v>763</v>
      </c>
    </row>
    <row r="35" spans="2:20" ht="9.75" customHeight="1">
      <c r="B35" s="15"/>
      <c r="T35" s="9">
        <f>S9</f>
        <v>0</v>
      </c>
    </row>
    <row r="36" spans="2:20" ht="9.75" customHeight="1">
      <c r="B36" s="15"/>
      <c r="T36" s="10">
        <f>S15</f>
        <v>0</v>
      </c>
    </row>
    <row r="37" spans="2:20" ht="9.75" customHeight="1">
      <c r="B37" s="15"/>
      <c r="T37" s="10">
        <f>S24</f>
        <v>0</v>
      </c>
    </row>
    <row r="38" spans="2:20" ht="9.75" customHeight="1">
      <c r="B38" s="15"/>
      <c r="T38" s="12">
        <f>S31</f>
        <v>0</v>
      </c>
    </row>
    <row r="39" spans="2:20" ht="9.75" customHeight="1">
      <c r="B39" s="15"/>
      <c r="S39" s="3" t="s">
        <v>110</v>
      </c>
      <c r="T39" s="58">
        <f>SUM(T34:T38)</f>
        <v>763</v>
      </c>
    </row>
    <row r="40" spans="2:20" ht="9.75" customHeight="1">
      <c r="B40" s="15"/>
      <c r="S40" s="3" t="s">
        <v>111</v>
      </c>
      <c r="T40" s="12">
        <f>'bdoVPZ RT Mai98'!$T$39</f>
        <v>10816</v>
      </c>
    </row>
    <row r="41" spans="2:20" ht="9.75" customHeight="1">
      <c r="B41" s="15"/>
      <c r="S41" s="3" t="s">
        <v>112</v>
      </c>
      <c r="T41" s="9">
        <f>SUM(T39:T40)</f>
        <v>11579</v>
      </c>
    </row>
    <row r="42" ht="9.75" customHeight="1">
      <c r="B42" s="15"/>
    </row>
    <row r="43" ht="9.75" customHeight="1">
      <c r="B43" s="15"/>
    </row>
    <row r="44" ht="9.75" customHeight="1">
      <c r="B44" s="7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&amp;CPréparé par Kitenge Somwé &amp;D&amp;RPage &amp;P</oddHeader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4"/>
  <dimension ref="A1:X189"/>
  <sheetViews>
    <sheetView showZeros="0" workbookViewId="0" topLeftCell="A25">
      <selection activeCell="O2" sqref="O2"/>
    </sheetView>
  </sheetViews>
  <sheetFormatPr defaultColWidth="11.421875" defaultRowHeight="9.75" customHeight="1"/>
  <cols>
    <col min="1" max="1" width="4.7109375" style="3" customWidth="1"/>
    <col min="2" max="2" width="7.00390625" style="3" customWidth="1"/>
    <col min="3" max="3" width="5.57421875" style="3" customWidth="1"/>
    <col min="4" max="5" width="6.57421875" style="3" customWidth="1"/>
    <col min="6" max="6" width="5.28125" style="3" customWidth="1"/>
    <col min="7" max="7" width="4.7109375" style="3" customWidth="1"/>
    <col min="8" max="9" width="5.140625" style="3" customWidth="1"/>
    <col min="10" max="10" width="5.00390625" style="3" customWidth="1"/>
    <col min="11" max="11" width="5.421875" style="3" customWidth="1"/>
    <col min="12" max="12" width="4.7109375" style="3" customWidth="1"/>
    <col min="13" max="13" width="4.00390625" style="3" customWidth="1"/>
    <col min="14" max="14" width="4.421875" style="3" customWidth="1"/>
    <col min="15" max="15" width="5.57421875" style="3" customWidth="1"/>
    <col min="16" max="17" width="5.140625" style="3" customWidth="1"/>
    <col min="18" max="18" width="5.00390625" style="3" customWidth="1"/>
    <col min="19" max="19" width="6.00390625" style="3" customWidth="1"/>
    <col min="20" max="20" width="6.421875" style="0" customWidth="1"/>
    <col min="21" max="21" width="6.8515625" style="0" customWidth="1"/>
    <col min="22" max="22" width="7.7109375" style="3" customWidth="1"/>
    <col min="23" max="23" width="6.8515625" style="3" customWidth="1"/>
    <col min="25" max="16384" width="11.421875" style="3" customWidth="1"/>
  </cols>
  <sheetData>
    <row r="1" spans="1:23" ht="9.75" customHeight="1">
      <c r="A1" s="1" t="s">
        <v>0</v>
      </c>
      <c r="B1" s="1" t="s">
        <v>3</v>
      </c>
      <c r="C1" s="1" t="s">
        <v>4</v>
      </c>
      <c r="D1" s="1" t="s">
        <v>5</v>
      </c>
      <c r="E1" s="2" t="s">
        <v>1</v>
      </c>
      <c r="F1" s="2" t="s">
        <v>285</v>
      </c>
      <c r="G1" s="2" t="s">
        <v>16</v>
      </c>
      <c r="H1" s="61" t="s">
        <v>136</v>
      </c>
      <c r="I1" s="2" t="s">
        <v>6</v>
      </c>
      <c r="J1" s="2" t="s">
        <v>193</v>
      </c>
      <c r="K1" s="2" t="s">
        <v>365</v>
      </c>
      <c r="L1" s="2" t="s">
        <v>194</v>
      </c>
      <c r="M1" s="2" t="s">
        <v>195</v>
      </c>
      <c r="N1" s="2" t="s">
        <v>366</v>
      </c>
      <c r="O1" s="2" t="s">
        <v>370</v>
      </c>
      <c r="P1" s="2" t="s">
        <v>196</v>
      </c>
      <c r="Q1" s="2" t="s">
        <v>200</v>
      </c>
      <c r="R1" s="2" t="s">
        <v>288</v>
      </c>
      <c r="S1" s="2" t="s">
        <v>289</v>
      </c>
      <c r="T1" s="2" t="s">
        <v>193</v>
      </c>
      <c r="U1" s="3"/>
      <c r="V1" s="1" t="s">
        <v>212</v>
      </c>
      <c r="W1" s="1" t="s">
        <v>211</v>
      </c>
    </row>
    <row r="2" spans="1:23" ht="9.75" customHeight="1">
      <c r="A2" s="4">
        <v>19</v>
      </c>
      <c r="B2" s="5">
        <v>35919</v>
      </c>
      <c r="C2" s="3">
        <v>116</v>
      </c>
      <c r="D2" s="3">
        <v>223</v>
      </c>
      <c r="E2" s="15"/>
      <c r="F2" s="7"/>
      <c r="G2" s="7"/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/>
      <c r="T2" s="3">
        <v>2625</v>
      </c>
      <c r="U2" s="3" t="s">
        <v>257</v>
      </c>
      <c r="V2" s="6" t="s">
        <v>8</v>
      </c>
      <c r="W2" s="6">
        <f>V5+W5</f>
        <v>96332</v>
      </c>
    </row>
    <row r="3" spans="1:21" ht="9.75" customHeight="1">
      <c r="A3" s="3" t="s">
        <v>254</v>
      </c>
      <c r="B3" s="5">
        <v>35919</v>
      </c>
      <c r="C3" s="3">
        <v>117</v>
      </c>
      <c r="D3" s="3">
        <v>224</v>
      </c>
      <c r="E3" s="15"/>
      <c r="F3" s="7"/>
      <c r="G3" s="7"/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/>
      <c r="T3" s="3">
        <v>250</v>
      </c>
      <c r="U3" s="3" t="s">
        <v>256</v>
      </c>
    </row>
    <row r="4" spans="2:23" ht="9.75" customHeight="1">
      <c r="B4" s="5">
        <v>35919</v>
      </c>
      <c r="C4" s="3">
        <v>118</v>
      </c>
      <c r="D4" s="3">
        <v>225</v>
      </c>
      <c r="E4" s="15"/>
      <c r="F4" s="7"/>
      <c r="G4" s="7"/>
      <c r="H4" s="7"/>
      <c r="I4" s="7"/>
      <c r="J4" s="7">
        <v>3572</v>
      </c>
      <c r="K4" s="7"/>
      <c r="L4" s="7"/>
      <c r="M4" s="7"/>
      <c r="N4" s="7"/>
      <c r="O4" s="7"/>
      <c r="P4" s="7"/>
      <c r="Q4" s="7"/>
      <c r="R4" s="7"/>
      <c r="S4" s="7"/>
      <c r="T4" s="3">
        <v>603</v>
      </c>
      <c r="U4" s="3" t="s">
        <v>256</v>
      </c>
      <c r="V4" s="3" t="s">
        <v>9</v>
      </c>
      <c r="W4" s="3" t="s">
        <v>9</v>
      </c>
    </row>
    <row r="5" spans="2:23" ht="9.75" customHeight="1">
      <c r="B5" s="5">
        <v>35920</v>
      </c>
      <c r="C5" s="3" t="s">
        <v>260</v>
      </c>
      <c r="D5" s="3">
        <v>229</v>
      </c>
      <c r="E5" s="15">
        <v>22511</v>
      </c>
      <c r="F5" s="7"/>
      <c r="G5" s="7"/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/>
      <c r="T5" s="3"/>
      <c r="U5" s="3" t="s">
        <v>367</v>
      </c>
      <c r="V5" s="3">
        <v>56926</v>
      </c>
      <c r="W5" s="3">
        <v>39406</v>
      </c>
    </row>
    <row r="6" spans="2:21" ht="9.75" customHeight="1">
      <c r="B6" s="5">
        <v>35922</v>
      </c>
      <c r="C6" s="3" t="s">
        <v>261</v>
      </c>
      <c r="D6" s="3">
        <v>232</v>
      </c>
      <c r="E6" s="15">
        <v>23080</v>
      </c>
      <c r="F6" s="7"/>
      <c r="G6" s="7"/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/>
      <c r="T6" s="3"/>
      <c r="U6" s="3"/>
    </row>
    <row r="7" spans="1:23" ht="9.75" customHeight="1">
      <c r="A7" s="16" t="s">
        <v>252</v>
      </c>
      <c r="B7" s="17"/>
      <c r="C7" s="303">
        <f>SUM(E7:S7)</f>
        <v>49163</v>
      </c>
      <c r="D7" s="304"/>
      <c r="E7" s="20">
        <f>SUM(E2:E6)</f>
        <v>45591</v>
      </c>
      <c r="F7" s="10">
        <f aca="true" t="shared" si="0" ref="F7:S7">SUM(F2:F6)</f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3572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0</v>
      </c>
      <c r="R7" s="10">
        <f t="shared" si="0"/>
        <v>0</v>
      </c>
      <c r="S7" s="10">
        <f t="shared" si="0"/>
        <v>0</v>
      </c>
      <c r="T7" s="3"/>
      <c r="U7" s="3"/>
      <c r="V7" s="16">
        <f>E7</f>
        <v>45591</v>
      </c>
      <c r="W7" s="16">
        <f>F7+G7+H7+J7</f>
        <v>3572</v>
      </c>
    </row>
    <row r="8" spans="1:23" ht="9.75" customHeight="1">
      <c r="A8" s="3" t="s">
        <v>15</v>
      </c>
      <c r="B8" s="5">
        <v>35926</v>
      </c>
      <c r="C8" s="3">
        <v>121</v>
      </c>
      <c r="D8" s="3">
        <v>234</v>
      </c>
      <c r="E8" s="15"/>
      <c r="F8" s="7"/>
      <c r="G8" s="7"/>
      <c r="H8" s="7">
        <v>416</v>
      </c>
      <c r="I8" s="7"/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/>
      <c r="T8" s="3"/>
      <c r="U8" s="3"/>
      <c r="V8" s="3">
        <f>SUM(V5:V7)</f>
        <v>102517</v>
      </c>
      <c r="W8" s="3">
        <f>SUM(W5:W7)</f>
        <v>42978</v>
      </c>
    </row>
    <row r="9" spans="1:21" ht="9.75" customHeight="1">
      <c r="A9" s="4">
        <v>20</v>
      </c>
      <c r="B9" s="5">
        <v>35927</v>
      </c>
      <c r="C9" s="3" t="s">
        <v>284</v>
      </c>
      <c r="D9" s="3">
        <v>236</v>
      </c>
      <c r="E9" s="15">
        <v>22475</v>
      </c>
      <c r="F9" s="7"/>
      <c r="G9" s="7"/>
      <c r="H9" s="7"/>
      <c r="I9" s="7"/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/>
      <c r="T9" s="3"/>
      <c r="U9" s="3"/>
    </row>
    <row r="10" spans="2:21" ht="9.75" customHeight="1">
      <c r="B10" s="5">
        <v>35928</v>
      </c>
      <c r="C10" s="3">
        <v>123</v>
      </c>
      <c r="D10" s="3">
        <v>237</v>
      </c>
      <c r="E10" s="15"/>
      <c r="F10" s="7">
        <v>14370</v>
      </c>
      <c r="G10" s="7"/>
      <c r="H10" s="7"/>
      <c r="I10" s="7"/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/>
      <c r="T10" s="3"/>
      <c r="U10" s="3"/>
    </row>
    <row r="11" spans="2:21" ht="9.75" customHeight="1">
      <c r="B11" s="5">
        <v>35929</v>
      </c>
      <c r="C11" s="3">
        <v>124</v>
      </c>
      <c r="D11" s="3">
        <v>239</v>
      </c>
      <c r="E11" s="15"/>
      <c r="F11" s="7"/>
      <c r="G11" s="7"/>
      <c r="H11" s="7"/>
      <c r="I11" s="7"/>
      <c r="J11" s="7">
        <v>4060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/>
      <c r="T11" s="3"/>
      <c r="U11" s="3"/>
    </row>
    <row r="12" spans="2:21" ht="9.75" customHeight="1">
      <c r="B12" s="5">
        <v>35929</v>
      </c>
      <c r="C12" s="3" t="s">
        <v>286</v>
      </c>
      <c r="D12" s="3">
        <v>240</v>
      </c>
      <c r="E12" s="15">
        <v>23044</v>
      </c>
      <c r="F12" s="7"/>
      <c r="G12" s="7"/>
      <c r="H12" s="7"/>
      <c r="I12" s="7"/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/>
      <c r="T12" s="3"/>
      <c r="U12" s="3"/>
    </row>
    <row r="13" spans="2:20" ht="9.75" customHeight="1">
      <c r="B13" s="5">
        <v>35930</v>
      </c>
      <c r="C13" s="3">
        <v>126</v>
      </c>
      <c r="D13" s="3">
        <v>242</v>
      </c>
      <c r="E13" s="15"/>
      <c r="F13" s="7"/>
      <c r="G13" s="7"/>
      <c r="H13" s="7"/>
      <c r="I13" s="7"/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12557</v>
      </c>
      <c r="S13" s="7"/>
      <c r="T13" s="3">
        <v>1161</v>
      </c>
    </row>
    <row r="14" spans="2:21" ht="9.75" customHeight="1">
      <c r="B14" s="5">
        <v>35930</v>
      </c>
      <c r="C14" s="3">
        <v>127</v>
      </c>
      <c r="D14" s="3">
        <v>243</v>
      </c>
      <c r="E14" s="15"/>
      <c r="F14" s="7"/>
      <c r="G14" s="7"/>
      <c r="H14" s="7"/>
      <c r="I14" s="7"/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/>
      <c r="T14" s="3">
        <v>14161</v>
      </c>
      <c r="U14" s="2" t="s">
        <v>287</v>
      </c>
    </row>
    <row r="15" spans="2:21" ht="9.75" customHeight="1">
      <c r="B15" s="5">
        <v>35930</v>
      </c>
      <c r="C15" s="3">
        <v>128</v>
      </c>
      <c r="D15" s="3">
        <v>248</v>
      </c>
      <c r="E15" s="15"/>
      <c r="F15" s="7"/>
      <c r="G15" s="7"/>
      <c r="H15" s="7">
        <v>464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3"/>
      <c r="U15" s="3"/>
    </row>
    <row r="16" spans="2:21" ht="9.75" customHeight="1">
      <c r="B16" s="5"/>
      <c r="E16" s="15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657</v>
      </c>
      <c r="T16" s="3"/>
      <c r="U16" s="3"/>
    </row>
    <row r="17" spans="1:23" ht="9.75" customHeight="1">
      <c r="A17" s="16" t="s">
        <v>253</v>
      </c>
      <c r="B17" s="19"/>
      <c r="C17" s="303">
        <f>SUM(E17:S17)</f>
        <v>78043</v>
      </c>
      <c r="D17" s="304"/>
      <c r="E17" s="20">
        <f aca="true" t="shared" si="1" ref="E17:S17">SUM(E8:E16)</f>
        <v>45519</v>
      </c>
      <c r="F17" s="10">
        <f t="shared" si="1"/>
        <v>14370</v>
      </c>
      <c r="G17" s="10">
        <f t="shared" si="1"/>
        <v>0</v>
      </c>
      <c r="H17" s="10">
        <f t="shared" si="1"/>
        <v>880</v>
      </c>
      <c r="I17" s="10">
        <f t="shared" si="1"/>
        <v>0</v>
      </c>
      <c r="J17" s="10">
        <f t="shared" si="1"/>
        <v>4060</v>
      </c>
      <c r="K17" s="10">
        <f t="shared" si="1"/>
        <v>0</v>
      </c>
      <c r="L17" s="10">
        <f t="shared" si="1"/>
        <v>0</v>
      </c>
      <c r="M17" s="10">
        <f t="shared" si="1"/>
        <v>0</v>
      </c>
      <c r="N17" s="10">
        <f t="shared" si="1"/>
        <v>0</v>
      </c>
      <c r="O17" s="10">
        <f t="shared" si="1"/>
        <v>0</v>
      </c>
      <c r="P17" s="10">
        <f t="shared" si="1"/>
        <v>0</v>
      </c>
      <c r="Q17" s="10">
        <f t="shared" si="1"/>
        <v>0</v>
      </c>
      <c r="R17" s="10">
        <f t="shared" si="1"/>
        <v>12557</v>
      </c>
      <c r="S17" s="10">
        <f t="shared" si="1"/>
        <v>657</v>
      </c>
      <c r="T17" s="3"/>
      <c r="U17" s="3"/>
      <c r="V17" s="16">
        <f>E17</f>
        <v>45519</v>
      </c>
      <c r="W17" s="16">
        <f>SUM(F17:R17)</f>
        <v>31867</v>
      </c>
    </row>
    <row r="18" spans="1:23" ht="9.75" customHeight="1">
      <c r="A18" s="3" t="s">
        <v>15</v>
      </c>
      <c r="B18" s="5">
        <v>35934</v>
      </c>
      <c r="C18" s="3">
        <v>129</v>
      </c>
      <c r="D18" s="3">
        <v>254</v>
      </c>
      <c r="E18" s="15"/>
      <c r="F18" s="7"/>
      <c r="G18" s="7"/>
      <c r="H18" s="7"/>
      <c r="I18" s="7">
        <v>6542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3"/>
      <c r="U18" s="3"/>
      <c r="V18" s="3">
        <f>V8+V17</f>
        <v>148036</v>
      </c>
      <c r="W18" s="3">
        <f>W8+W17</f>
        <v>74845</v>
      </c>
    </row>
    <row r="19" spans="1:21" ht="9.75" customHeight="1">
      <c r="A19" s="4">
        <v>21</v>
      </c>
      <c r="B19" s="5"/>
      <c r="E19" s="15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3"/>
      <c r="U19" s="3"/>
    </row>
    <row r="20" spans="2:21" ht="9.75" customHeight="1">
      <c r="B20" s="5"/>
      <c r="E20" s="15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3"/>
      <c r="U20" s="3"/>
    </row>
    <row r="21" spans="2:21" ht="9.75" customHeight="1">
      <c r="B21" s="5"/>
      <c r="E21" s="15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3"/>
    </row>
    <row r="22" spans="2:21" ht="9.75" customHeight="1">
      <c r="B22" s="5"/>
      <c r="E22" s="15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4"/>
      <c r="U22" s="3"/>
    </row>
    <row r="23" spans="2:21" ht="9.75" customHeight="1">
      <c r="B23" s="5"/>
      <c r="E23" s="15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3"/>
      <c r="U23" s="3"/>
    </row>
    <row r="24" spans="2:21" ht="9.75" customHeight="1">
      <c r="B24" s="5"/>
      <c r="E24" s="15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3"/>
      <c r="U24" s="3"/>
    </row>
    <row r="25" spans="2:21" ht="9.75" customHeight="1">
      <c r="B25" s="5"/>
      <c r="E25" s="15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3"/>
      <c r="U25" s="3"/>
    </row>
    <row r="26" spans="1:23" ht="9.75" customHeight="1">
      <c r="A26" s="16" t="s">
        <v>362</v>
      </c>
      <c r="B26" s="19"/>
      <c r="C26" s="303">
        <f>E26+F26+G26+H26+I26+J26+K26+L26+M26+N26+O26+P26+Q26+R26</f>
        <v>6542</v>
      </c>
      <c r="D26" s="303"/>
      <c r="E26" s="20">
        <f>SUM(E18:E25)</f>
        <v>0</v>
      </c>
      <c r="F26" s="10">
        <f aca="true" t="shared" si="2" ref="F26:S26">SUM(F18:F25)</f>
        <v>0</v>
      </c>
      <c r="G26" s="10">
        <f t="shared" si="2"/>
        <v>0</v>
      </c>
      <c r="H26" s="10">
        <f t="shared" si="2"/>
        <v>0</v>
      </c>
      <c r="I26" s="10">
        <f t="shared" si="2"/>
        <v>6542</v>
      </c>
      <c r="J26" s="10">
        <f t="shared" si="2"/>
        <v>0</v>
      </c>
      <c r="K26" s="10">
        <f t="shared" si="2"/>
        <v>0</v>
      </c>
      <c r="L26" s="10">
        <f t="shared" si="2"/>
        <v>0</v>
      </c>
      <c r="M26" s="10">
        <f t="shared" si="2"/>
        <v>0</v>
      </c>
      <c r="N26" s="10">
        <f t="shared" si="2"/>
        <v>0</v>
      </c>
      <c r="O26" s="10">
        <f t="shared" si="2"/>
        <v>0</v>
      </c>
      <c r="P26" s="10">
        <f t="shared" si="2"/>
        <v>0</v>
      </c>
      <c r="Q26" s="10">
        <f t="shared" si="2"/>
        <v>0</v>
      </c>
      <c r="R26" s="10">
        <f t="shared" si="2"/>
        <v>0</v>
      </c>
      <c r="S26" s="10">
        <f t="shared" si="2"/>
        <v>0</v>
      </c>
      <c r="T26" s="82"/>
      <c r="U26" s="3"/>
      <c r="V26" s="16">
        <f>E26</f>
        <v>0</v>
      </c>
      <c r="W26" s="16">
        <f>SUM(F26:R26)</f>
        <v>6542</v>
      </c>
    </row>
    <row r="27" spans="1:23" ht="9.75" customHeight="1">
      <c r="A27" s="3" t="s">
        <v>15</v>
      </c>
      <c r="B27" s="5">
        <v>35940</v>
      </c>
      <c r="C27" s="3">
        <v>130</v>
      </c>
      <c r="D27" s="3">
        <v>258</v>
      </c>
      <c r="E27" s="15"/>
      <c r="F27" s="7"/>
      <c r="G27" s="7"/>
      <c r="H27" s="7"/>
      <c r="I27" s="7"/>
      <c r="J27" s="7">
        <v>960</v>
      </c>
      <c r="L27" s="7"/>
      <c r="M27" s="7"/>
      <c r="N27" s="7"/>
      <c r="O27" s="7"/>
      <c r="P27" s="7"/>
      <c r="Q27" s="7">
        <v>0</v>
      </c>
      <c r="R27" s="7">
        <v>0</v>
      </c>
      <c r="S27" s="7"/>
      <c r="T27" s="3"/>
      <c r="U27" s="3"/>
      <c r="V27" s="3">
        <f>V18+V26</f>
        <v>148036</v>
      </c>
      <c r="W27" s="3">
        <f>W18+W26</f>
        <v>81387</v>
      </c>
    </row>
    <row r="28" spans="1:21" ht="9.75" customHeight="1">
      <c r="A28" s="4">
        <v>22</v>
      </c>
      <c r="B28" s="5">
        <v>35941</v>
      </c>
      <c r="C28" s="3" t="s">
        <v>364</v>
      </c>
      <c r="D28" s="3">
        <v>259</v>
      </c>
      <c r="E28" s="15"/>
      <c r="F28" s="7"/>
      <c r="G28" s="7"/>
      <c r="H28" s="7"/>
      <c r="I28" s="7"/>
      <c r="J28" s="7"/>
      <c r="K28" s="7">
        <v>10996</v>
      </c>
      <c r="L28" s="7"/>
      <c r="M28" s="7"/>
      <c r="N28" s="7"/>
      <c r="O28" s="7"/>
      <c r="P28" s="7"/>
      <c r="Q28" s="7">
        <v>0</v>
      </c>
      <c r="R28" s="7">
        <v>0</v>
      </c>
      <c r="S28" s="7"/>
      <c r="T28" s="3"/>
      <c r="U28" s="3"/>
    </row>
    <row r="29" spans="2:21" ht="9.75" customHeight="1">
      <c r="B29" s="5">
        <v>35941</v>
      </c>
      <c r="C29" s="3">
        <v>132</v>
      </c>
      <c r="D29" s="3">
        <v>260</v>
      </c>
      <c r="E29" s="15"/>
      <c r="F29" s="7"/>
      <c r="G29" s="7"/>
      <c r="H29" s="7"/>
      <c r="I29" s="7"/>
      <c r="J29" s="7"/>
      <c r="K29" s="7"/>
      <c r="L29" s="7"/>
      <c r="M29" s="7"/>
      <c r="N29" s="7">
        <v>326</v>
      </c>
      <c r="O29" s="7"/>
      <c r="P29" s="7"/>
      <c r="Q29" s="7">
        <v>0</v>
      </c>
      <c r="R29" s="7">
        <v>0</v>
      </c>
      <c r="S29" s="7"/>
      <c r="T29" s="3"/>
      <c r="U29" s="3"/>
    </row>
    <row r="30" spans="2:21" ht="9.75" customHeight="1">
      <c r="B30" s="5">
        <v>35942</v>
      </c>
      <c r="C30" s="3" t="s">
        <v>368</v>
      </c>
      <c r="D30" s="3">
        <v>265</v>
      </c>
      <c r="E30" s="15">
        <v>23554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>
        <v>0</v>
      </c>
      <c r="R30" s="7">
        <v>0</v>
      </c>
      <c r="S30" s="7"/>
      <c r="T30" s="3"/>
      <c r="U30" s="3"/>
    </row>
    <row r="31" spans="2:21" ht="9.75" customHeight="1">
      <c r="B31" s="5">
        <v>35943</v>
      </c>
      <c r="C31" s="3" t="s">
        <v>369</v>
      </c>
      <c r="D31" s="3">
        <v>266</v>
      </c>
      <c r="E31" s="15"/>
      <c r="F31" s="7"/>
      <c r="G31" s="7"/>
      <c r="I31" s="7"/>
      <c r="J31" s="7"/>
      <c r="K31" s="7">
        <v>6423</v>
      </c>
      <c r="L31" s="7"/>
      <c r="M31" s="7"/>
      <c r="O31" s="7"/>
      <c r="P31" s="7"/>
      <c r="Q31" s="7">
        <v>0</v>
      </c>
      <c r="R31" s="7">
        <v>0</v>
      </c>
      <c r="S31" s="7"/>
      <c r="T31" s="3"/>
      <c r="U31" s="3"/>
    </row>
    <row r="32" spans="2:21" ht="9.75" customHeight="1">
      <c r="B32" s="5">
        <v>35943</v>
      </c>
      <c r="C32" s="3">
        <v>135</v>
      </c>
      <c r="E32" s="15"/>
      <c r="F32" s="7"/>
      <c r="G32" s="7"/>
      <c r="H32" s="7"/>
      <c r="I32" s="7"/>
      <c r="J32" s="7"/>
      <c r="K32" s="7"/>
      <c r="L32" s="7"/>
      <c r="M32" s="7"/>
      <c r="N32" s="7"/>
      <c r="O32" s="7">
        <v>47</v>
      </c>
      <c r="Q32" s="7">
        <v>0</v>
      </c>
      <c r="R32" s="7">
        <v>0</v>
      </c>
      <c r="S32" s="7"/>
      <c r="T32" s="3"/>
      <c r="U32" s="3"/>
    </row>
    <row r="33" spans="1:21" ht="9.75" customHeight="1">
      <c r="A33" s="4"/>
      <c r="B33" s="5"/>
      <c r="E33" s="15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>
        <v>0</v>
      </c>
      <c r="R33" s="7">
        <v>0</v>
      </c>
      <c r="S33" s="7"/>
      <c r="T33" s="3"/>
      <c r="U33" s="3"/>
    </row>
    <row r="34" spans="1:21" ht="9.75" customHeight="1">
      <c r="A34" s="4"/>
      <c r="B34" s="5"/>
      <c r="E34" s="15"/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/>
      <c r="T34" s="3"/>
      <c r="U34" s="3"/>
    </row>
    <row r="35" spans="1:23" ht="9.75" customHeight="1">
      <c r="A35" s="16" t="s">
        <v>363</v>
      </c>
      <c r="B35" s="19"/>
      <c r="C35" s="303">
        <f>E35+F35+G35+H35+I35+J35+K35+L35+M35+N35+O35+P35+Q35+R35</f>
        <v>42306</v>
      </c>
      <c r="D35" s="303"/>
      <c r="E35" s="20">
        <f>SUM(E28:E34)</f>
        <v>23554</v>
      </c>
      <c r="F35" s="10">
        <f aca="true" t="shared" si="3" ref="F35:O35">SUM(F27:F34)</f>
        <v>0</v>
      </c>
      <c r="G35" s="10">
        <f t="shared" si="3"/>
        <v>0</v>
      </c>
      <c r="H35" s="9">
        <f t="shared" si="3"/>
        <v>0</v>
      </c>
      <c r="I35" s="9">
        <f t="shared" si="3"/>
        <v>0</v>
      </c>
      <c r="J35" s="9">
        <f t="shared" si="3"/>
        <v>960</v>
      </c>
      <c r="K35" s="9">
        <f>SUM(K28:K34)</f>
        <v>17419</v>
      </c>
      <c r="L35" s="9">
        <f t="shared" si="3"/>
        <v>0</v>
      </c>
      <c r="M35" s="9">
        <f t="shared" si="3"/>
        <v>0</v>
      </c>
      <c r="N35" s="9">
        <f t="shared" si="3"/>
        <v>326</v>
      </c>
      <c r="O35" s="9">
        <f t="shared" si="3"/>
        <v>47</v>
      </c>
      <c r="P35" s="9">
        <f>SUM(P33:P34)</f>
        <v>0</v>
      </c>
      <c r="Q35" s="9">
        <f>SUM(Q27:Q34)</f>
        <v>0</v>
      </c>
      <c r="R35" s="9">
        <f>SUM(R27:R34)</f>
        <v>0</v>
      </c>
      <c r="S35" s="9">
        <f>SUM(S27:S34)</f>
        <v>0</v>
      </c>
      <c r="T35" s="82"/>
      <c r="U35" s="3"/>
      <c r="V35" s="16">
        <f>E35</f>
        <v>23554</v>
      </c>
      <c r="W35" s="16">
        <f>SUM(F35:R35)</f>
        <v>18752</v>
      </c>
    </row>
    <row r="36" spans="1:23" ht="9.75" customHeight="1">
      <c r="A36" s="4"/>
      <c r="B36" s="5"/>
      <c r="E36" s="15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3"/>
      <c r="U36" s="3"/>
      <c r="V36" s="3">
        <f>V27+V35</f>
        <v>171590</v>
      </c>
      <c r="W36" s="3">
        <f>W27+W35</f>
        <v>100139</v>
      </c>
    </row>
    <row r="37" spans="2:21" ht="9.75" customHeight="1">
      <c r="B37" s="5"/>
      <c r="E37" s="15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3"/>
      <c r="U37" s="3"/>
    </row>
    <row r="38" spans="2:21" ht="9.75" customHeight="1">
      <c r="B38" s="5"/>
      <c r="E38" s="15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3"/>
      <c r="U38" s="3"/>
    </row>
    <row r="39" spans="2:24" ht="9.75" customHeight="1">
      <c r="B39" s="5"/>
      <c r="E39" s="15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3"/>
      <c r="U39" s="3"/>
      <c r="X39" s="3"/>
    </row>
    <row r="40" spans="2:24" ht="9.75" customHeight="1">
      <c r="B40" s="5"/>
      <c r="E40" s="15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3"/>
      <c r="U40" s="3"/>
      <c r="X40" s="3"/>
    </row>
    <row r="41" spans="2:24" ht="9.75" customHeight="1">
      <c r="B41" s="5"/>
      <c r="E41" s="15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3"/>
      <c r="U41" s="3"/>
      <c r="X41" s="3"/>
    </row>
    <row r="42" spans="2:24" ht="9.75" customHeight="1">
      <c r="B42" s="5"/>
      <c r="E42" s="15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3"/>
      <c r="U42" s="3"/>
      <c r="X42" s="3"/>
    </row>
    <row r="43" spans="2:24" ht="9.75" customHeight="1">
      <c r="B43" s="5"/>
      <c r="E43" s="15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3"/>
      <c r="X43" s="3"/>
    </row>
    <row r="44" spans="1:24" ht="9.75" customHeight="1">
      <c r="A44" s="8"/>
      <c r="B44" s="23"/>
      <c r="C44" s="301">
        <f>E44+F44+G44+H44++I44+J44+K44+L44+M44+N44+O44+P44+Q44+R44+S44</f>
        <v>0</v>
      </c>
      <c r="D44" s="302"/>
      <c r="E44" s="21">
        <f aca="true" t="shared" si="4" ref="E44:S44">SUM(E36:E43)</f>
        <v>0</v>
      </c>
      <c r="F44" s="10">
        <f t="shared" si="4"/>
        <v>0</v>
      </c>
      <c r="G44" s="10">
        <f t="shared" si="4"/>
        <v>0</v>
      </c>
      <c r="H44" s="10">
        <f t="shared" si="4"/>
        <v>0</v>
      </c>
      <c r="I44" s="10">
        <f t="shared" si="4"/>
        <v>0</v>
      </c>
      <c r="J44" s="10">
        <f t="shared" si="4"/>
        <v>0</v>
      </c>
      <c r="K44" s="10">
        <f t="shared" si="4"/>
        <v>0</v>
      </c>
      <c r="L44" s="10">
        <f t="shared" si="4"/>
        <v>0</v>
      </c>
      <c r="M44" s="10">
        <f t="shared" si="4"/>
        <v>0</v>
      </c>
      <c r="N44" s="10">
        <f t="shared" si="4"/>
        <v>0</v>
      </c>
      <c r="O44" s="10">
        <f t="shared" si="4"/>
        <v>0</v>
      </c>
      <c r="P44" s="10">
        <f t="shared" si="4"/>
        <v>0</v>
      </c>
      <c r="Q44" s="10">
        <f t="shared" si="4"/>
        <v>0</v>
      </c>
      <c r="R44" s="10">
        <f t="shared" si="4"/>
        <v>0</v>
      </c>
      <c r="S44" s="10">
        <f t="shared" si="4"/>
        <v>0</v>
      </c>
      <c r="T44" s="14"/>
      <c r="U44" s="83"/>
      <c r="V44" s="16">
        <f>E44</f>
        <v>0</v>
      </c>
      <c r="W44" s="16">
        <f>N44+O44+Q44+R44+S44</f>
        <v>0</v>
      </c>
      <c r="X44" s="3"/>
    </row>
    <row r="45" spans="1:24" ht="9.75" customHeight="1">
      <c r="A45" s="201" t="s">
        <v>19</v>
      </c>
      <c r="B45" s="22"/>
      <c r="C45" s="6"/>
      <c r="D45" s="6"/>
      <c r="E45" s="6">
        <f aca="true" t="shared" si="5" ref="E45:S45">E7+E17+E26+E35+E44</f>
        <v>114664</v>
      </c>
      <c r="F45" s="6">
        <f t="shared" si="5"/>
        <v>14370</v>
      </c>
      <c r="G45" s="6">
        <f t="shared" si="5"/>
        <v>0</v>
      </c>
      <c r="H45" s="6">
        <f t="shared" si="5"/>
        <v>880</v>
      </c>
      <c r="I45" s="6">
        <f t="shared" si="5"/>
        <v>6542</v>
      </c>
      <c r="J45" s="6">
        <f t="shared" si="5"/>
        <v>8592</v>
      </c>
      <c r="K45" s="6">
        <f t="shared" si="5"/>
        <v>17419</v>
      </c>
      <c r="L45" s="6">
        <f t="shared" si="5"/>
        <v>0</v>
      </c>
      <c r="M45" s="6">
        <f t="shared" si="5"/>
        <v>0</v>
      </c>
      <c r="N45" s="6">
        <f t="shared" si="5"/>
        <v>326</v>
      </c>
      <c r="O45" s="6">
        <f t="shared" si="5"/>
        <v>47</v>
      </c>
      <c r="P45" s="6">
        <f t="shared" si="5"/>
        <v>0</v>
      </c>
      <c r="Q45" s="6">
        <f t="shared" si="5"/>
        <v>0</v>
      </c>
      <c r="R45" s="6">
        <f t="shared" si="5"/>
        <v>12557</v>
      </c>
      <c r="S45" s="6">
        <f t="shared" si="5"/>
        <v>657</v>
      </c>
      <c r="T45" s="15" t="s">
        <v>258</v>
      </c>
      <c r="U45" s="51"/>
      <c r="V45" s="3">
        <f>V44+V36</f>
        <v>171590</v>
      </c>
      <c r="W45" s="3">
        <f>W44+W36</f>
        <v>100139</v>
      </c>
      <c r="X45" s="3"/>
    </row>
    <row r="46" spans="1:24" ht="9.75" customHeight="1">
      <c r="A46" s="156" t="s">
        <v>351</v>
      </c>
      <c r="B46" s="13"/>
      <c r="D46" s="94">
        <f>C7+C17+C26+C35+C44</f>
        <v>176054</v>
      </c>
      <c r="T46" s="57">
        <f>SUM(T2:T43)</f>
        <v>18800</v>
      </c>
      <c r="U46" s="10">
        <f>T46+D47</f>
        <v>80190</v>
      </c>
      <c r="V46" s="58" t="s">
        <v>262</v>
      </c>
      <c r="X46" s="3"/>
    </row>
    <row r="47" spans="1:24" ht="9.75" customHeight="1">
      <c r="A47" s="162" t="s">
        <v>350</v>
      </c>
      <c r="D47" s="202">
        <f>SUM(F45:S45)</f>
        <v>61390</v>
      </c>
      <c r="G47" s="7"/>
      <c r="H47" s="7"/>
      <c r="I47" s="7"/>
      <c r="T47" s="4" t="s">
        <v>259</v>
      </c>
      <c r="U47" s="7"/>
      <c r="V47" s="4">
        <f>C7+C17+C26+C35+C44+T46</f>
        <v>194854</v>
      </c>
      <c r="X47" s="3"/>
    </row>
    <row r="48" spans="7:24" ht="9.75" customHeight="1">
      <c r="G48" s="4" t="s">
        <v>354</v>
      </c>
      <c r="T48" s="3"/>
      <c r="U48" s="3"/>
      <c r="V48" s="4"/>
      <c r="X48" s="3"/>
    </row>
    <row r="49" spans="20:24" ht="9.75" customHeight="1">
      <c r="T49" s="3"/>
      <c r="U49" s="3"/>
      <c r="X49" s="3"/>
    </row>
    <row r="50" spans="1:24" ht="9.75" customHeight="1">
      <c r="A50" s="1" t="s">
        <v>0</v>
      </c>
      <c r="B50" s="1" t="s">
        <v>3</v>
      </c>
      <c r="C50" s="1" t="s">
        <v>4</v>
      </c>
      <c r="D50" s="1" t="s">
        <v>5</v>
      </c>
      <c r="E50" s="1" t="s">
        <v>358</v>
      </c>
      <c r="F50" s="1" t="s">
        <v>357</v>
      </c>
      <c r="O50" s="3" t="s">
        <v>18</v>
      </c>
      <c r="P50" s="4" t="s">
        <v>10</v>
      </c>
      <c r="Q50" s="3" t="s">
        <v>11</v>
      </c>
      <c r="S50" s="15" t="s">
        <v>17</v>
      </c>
      <c r="T50" s="4" t="s">
        <v>10</v>
      </c>
      <c r="U50" s="4"/>
      <c r="V50" s="3" t="s">
        <v>11</v>
      </c>
      <c r="X50" s="3"/>
    </row>
    <row r="51" spans="1:24" ht="9.75" customHeight="1">
      <c r="A51" s="4">
        <v>18</v>
      </c>
      <c r="B51" s="5">
        <v>35919</v>
      </c>
      <c r="C51" s="3">
        <v>116</v>
      </c>
      <c r="D51" s="3">
        <v>223</v>
      </c>
      <c r="E51" s="3" t="s">
        <v>193</v>
      </c>
      <c r="F51" s="15" t="s">
        <v>353</v>
      </c>
      <c r="O51" s="3">
        <f>W5</f>
        <v>39406</v>
      </c>
      <c r="P51" s="4">
        <f>W7+W17+W26+W35</f>
        <v>60733</v>
      </c>
      <c r="Q51" s="3">
        <f>SUM(O51:P51)</f>
        <v>100139</v>
      </c>
      <c r="S51" s="15">
        <f>V5</f>
        <v>56926</v>
      </c>
      <c r="T51" s="4">
        <f>V7+V17+V26+V35</f>
        <v>114664</v>
      </c>
      <c r="U51" s="4"/>
      <c r="V51" s="3">
        <f>SUM(S51:T51)</f>
        <v>171590</v>
      </c>
      <c r="X51" s="3"/>
    </row>
    <row r="52" spans="1:24" ht="9.75" customHeight="1">
      <c r="A52" s="3" t="s">
        <v>254</v>
      </c>
      <c r="B52" s="5">
        <v>35919</v>
      </c>
      <c r="C52" s="3">
        <v>117</v>
      </c>
      <c r="D52" s="3">
        <v>224</v>
      </c>
      <c r="E52" s="3" t="s">
        <v>193</v>
      </c>
      <c r="F52" s="15" t="s">
        <v>353</v>
      </c>
      <c r="O52" s="3" t="s">
        <v>12</v>
      </c>
      <c r="P52" s="3" t="s">
        <v>13</v>
      </c>
      <c r="Q52" s="3" t="s">
        <v>142</v>
      </c>
      <c r="R52" s="3" t="s">
        <v>143</v>
      </c>
      <c r="S52" s="15" t="s">
        <v>12</v>
      </c>
      <c r="T52" s="3" t="s">
        <v>13</v>
      </c>
      <c r="U52" s="3"/>
      <c r="V52" s="3" t="s">
        <v>142</v>
      </c>
      <c r="W52" s="4" t="s">
        <v>143</v>
      </c>
      <c r="X52" s="3"/>
    </row>
    <row r="53" spans="2:24" ht="9.75" customHeight="1">
      <c r="B53" s="5">
        <v>35919</v>
      </c>
      <c r="C53" s="3">
        <v>118</v>
      </c>
      <c r="D53" s="3">
        <v>225</v>
      </c>
      <c r="E53" s="3" t="s">
        <v>193</v>
      </c>
      <c r="F53" s="15" t="s">
        <v>353</v>
      </c>
      <c r="O53" s="3">
        <f>Q51</f>
        <v>100139</v>
      </c>
      <c r="P53" s="4"/>
      <c r="S53" s="15">
        <f>V51</f>
        <v>171590</v>
      </c>
      <c r="T53" s="4"/>
      <c r="U53" s="4"/>
      <c r="W53" s="4"/>
      <c r="X53" s="3"/>
    </row>
    <row r="54" spans="2:24" ht="9.75" customHeight="1">
      <c r="B54" s="5">
        <v>35920</v>
      </c>
      <c r="C54" s="3" t="s">
        <v>260</v>
      </c>
      <c r="D54" s="3">
        <v>229</v>
      </c>
      <c r="F54" s="15"/>
      <c r="P54" s="3" t="s">
        <v>14</v>
      </c>
      <c r="Q54" s="3">
        <f>O53-P53</f>
        <v>100139</v>
      </c>
      <c r="R54" s="8"/>
      <c r="T54" s="3"/>
      <c r="U54" s="3"/>
      <c r="V54" s="3" t="s">
        <v>14</v>
      </c>
      <c r="W54" s="3">
        <f>S53-T53</f>
        <v>171590</v>
      </c>
      <c r="X54" s="3"/>
    </row>
    <row r="55" spans="2:24" ht="9.75" customHeight="1">
      <c r="B55" s="5">
        <v>35922</v>
      </c>
      <c r="C55" s="3" t="s">
        <v>261</v>
      </c>
      <c r="D55" s="3">
        <v>232</v>
      </c>
      <c r="F55" s="15"/>
      <c r="T55" s="3"/>
      <c r="U55" s="3"/>
      <c r="X55" s="3"/>
    </row>
    <row r="56" spans="1:24" ht="9.75" customHeight="1">
      <c r="A56" s="16" t="s">
        <v>251</v>
      </c>
      <c r="B56" s="17"/>
      <c r="C56" s="303">
        <f>SUM(E56:S56)</f>
        <v>0</v>
      </c>
      <c r="D56" s="304"/>
      <c r="F56" s="15"/>
      <c r="T56" s="3"/>
      <c r="U56" s="3"/>
      <c r="X56" s="3"/>
    </row>
    <row r="57" spans="1:24" ht="9.75" customHeight="1">
      <c r="A57" s="3" t="s">
        <v>15</v>
      </c>
      <c r="B57" s="5">
        <v>35926</v>
      </c>
      <c r="C57" s="3">
        <v>121</v>
      </c>
      <c r="D57" s="3">
        <v>234</v>
      </c>
      <c r="F57" s="15"/>
      <c r="T57" s="3"/>
      <c r="U57" s="3"/>
      <c r="X57" s="3"/>
    </row>
    <row r="58" spans="1:24" ht="9.75" customHeight="1">
      <c r="A58" s="4">
        <v>19</v>
      </c>
      <c r="B58" s="5">
        <v>35927</v>
      </c>
      <c r="C58" s="3" t="s">
        <v>284</v>
      </c>
      <c r="D58" s="3">
        <v>236</v>
      </c>
      <c r="F58" s="15"/>
      <c r="T58" s="3"/>
      <c r="U58" s="3"/>
      <c r="X58" s="3"/>
    </row>
    <row r="59" spans="2:24" ht="9.75" customHeight="1">
      <c r="B59" s="5">
        <v>35928</v>
      </c>
      <c r="C59" s="3">
        <v>123</v>
      </c>
      <c r="D59" s="3">
        <v>237</v>
      </c>
      <c r="F59" s="15"/>
      <c r="T59" s="3"/>
      <c r="U59" s="3"/>
      <c r="X59" s="3"/>
    </row>
    <row r="60" spans="2:24" ht="9.75" customHeight="1">
      <c r="B60" s="5">
        <v>35929</v>
      </c>
      <c r="C60" s="3">
        <v>124</v>
      </c>
      <c r="D60" s="3">
        <v>239</v>
      </c>
      <c r="E60" s="3" t="s">
        <v>193</v>
      </c>
      <c r="F60" s="15" t="s">
        <v>353</v>
      </c>
      <c r="T60" s="3"/>
      <c r="U60" s="3"/>
      <c r="X60" s="3"/>
    </row>
    <row r="61" spans="2:24" ht="9.75" customHeight="1">
      <c r="B61" s="5">
        <v>35929</v>
      </c>
      <c r="C61" s="3" t="s">
        <v>286</v>
      </c>
      <c r="D61" s="3">
        <v>240</v>
      </c>
      <c r="E61" s="7"/>
      <c r="F61" s="15"/>
      <c r="G61" s="3" t="s">
        <v>360</v>
      </c>
      <c r="T61" s="3"/>
      <c r="U61" s="3"/>
      <c r="X61" s="3"/>
    </row>
    <row r="62" spans="2:24" ht="9.75" customHeight="1">
      <c r="B62" s="5">
        <v>35930</v>
      </c>
      <c r="C62" s="3">
        <v>126</v>
      </c>
      <c r="D62" s="3">
        <v>242</v>
      </c>
      <c r="E62" s="7" t="s">
        <v>288</v>
      </c>
      <c r="F62" s="15" t="s">
        <v>355</v>
      </c>
      <c r="T62" s="3"/>
      <c r="U62" s="3"/>
      <c r="X62" s="3"/>
    </row>
    <row r="63" spans="2:24" ht="9.75" customHeight="1">
      <c r="B63" s="5">
        <v>35930</v>
      </c>
      <c r="C63" s="3">
        <v>127</v>
      </c>
      <c r="D63" s="3">
        <v>243</v>
      </c>
      <c r="E63" s="7" t="s">
        <v>287</v>
      </c>
      <c r="F63" s="15" t="s">
        <v>356</v>
      </c>
      <c r="T63" s="3"/>
      <c r="U63" s="3"/>
      <c r="X63" s="3"/>
    </row>
    <row r="64" spans="2:24" ht="9.75" customHeight="1">
      <c r="B64" s="5">
        <v>35930</v>
      </c>
      <c r="C64" s="3">
        <v>128</v>
      </c>
      <c r="D64" s="3">
        <v>248</v>
      </c>
      <c r="E64" s="7"/>
      <c r="F64" s="15" t="s">
        <v>359</v>
      </c>
      <c r="T64" s="3"/>
      <c r="U64" s="3"/>
      <c r="X64" s="3"/>
    </row>
    <row r="65" spans="2:24" ht="9.75" customHeight="1">
      <c r="B65" s="5"/>
      <c r="E65" s="7"/>
      <c r="F65" s="15"/>
      <c r="T65" s="3"/>
      <c r="U65" s="3"/>
      <c r="X65" s="3"/>
    </row>
    <row r="66" spans="1:24" ht="9.75" customHeight="1">
      <c r="A66" s="16" t="s">
        <v>252</v>
      </c>
      <c r="B66" s="19"/>
      <c r="C66" s="303">
        <f>SUM(E66:S66)</f>
        <v>0</v>
      </c>
      <c r="D66" s="304"/>
      <c r="E66" s="7"/>
      <c r="F66" s="15"/>
      <c r="T66" s="3"/>
      <c r="U66" s="3"/>
      <c r="X66" s="3"/>
    </row>
    <row r="67" spans="1:24" ht="9.75" customHeight="1">
      <c r="A67" s="3" t="s">
        <v>15</v>
      </c>
      <c r="B67" s="5">
        <v>35934</v>
      </c>
      <c r="C67" s="3">
        <v>129</v>
      </c>
      <c r="D67" s="3">
        <v>254</v>
      </c>
      <c r="E67" s="7" t="s">
        <v>6</v>
      </c>
      <c r="F67" s="15" t="s">
        <v>353</v>
      </c>
      <c r="T67" s="3"/>
      <c r="U67" s="3"/>
      <c r="X67" s="3"/>
    </row>
    <row r="68" spans="1:24" ht="9.75" customHeight="1">
      <c r="A68" s="4">
        <v>20</v>
      </c>
      <c r="B68" s="5"/>
      <c r="E68" s="7"/>
      <c r="F68" s="15"/>
      <c r="T68" s="3"/>
      <c r="U68" s="3"/>
      <c r="X68" s="3"/>
    </row>
    <row r="69" spans="2:24" ht="9.75" customHeight="1">
      <c r="B69" s="5"/>
      <c r="E69" s="7"/>
      <c r="F69" s="15"/>
      <c r="T69" s="3"/>
      <c r="U69" s="3"/>
      <c r="X69" s="3"/>
    </row>
    <row r="70" spans="2:24" ht="9.75" customHeight="1">
      <c r="B70" s="5"/>
      <c r="E70" s="7"/>
      <c r="F70" s="15"/>
      <c r="T70" s="3"/>
      <c r="U70" s="3"/>
      <c r="X70" s="3"/>
    </row>
    <row r="71" spans="2:24" ht="9.75" customHeight="1">
      <c r="B71" s="5"/>
      <c r="E71" s="7"/>
      <c r="F71" s="15"/>
      <c r="T71" s="3"/>
      <c r="U71" s="3"/>
      <c r="X71" s="3"/>
    </row>
    <row r="72" spans="2:24" ht="9.75" customHeight="1">
      <c r="B72" s="5"/>
      <c r="E72" s="7"/>
      <c r="F72" s="15"/>
      <c r="T72" s="3"/>
      <c r="U72" s="3"/>
      <c r="X72" s="3"/>
    </row>
    <row r="73" spans="2:24" ht="9.75" customHeight="1">
      <c r="B73" s="5"/>
      <c r="E73" s="7"/>
      <c r="F73" s="15"/>
      <c r="T73" s="3"/>
      <c r="U73" s="3"/>
      <c r="X73" s="3"/>
    </row>
    <row r="74" spans="2:24" ht="9.75" customHeight="1">
      <c r="B74" s="5"/>
      <c r="E74" s="7"/>
      <c r="F74" s="15"/>
      <c r="T74" s="3"/>
      <c r="U74" s="3"/>
      <c r="X74" s="3"/>
    </row>
    <row r="75" spans="1:24" ht="9.75" customHeight="1">
      <c r="A75" s="16" t="s">
        <v>253</v>
      </c>
      <c r="B75" s="19"/>
      <c r="C75" s="303">
        <f>E75+F75+G75+H75+I75+J75+K75+L75+M75+N75+O75+P75+Q75+R75</f>
        <v>0</v>
      </c>
      <c r="D75" s="303"/>
      <c r="E75" s="7"/>
      <c r="F75" s="15"/>
      <c r="T75" s="3"/>
      <c r="U75" s="3"/>
      <c r="X75" s="3"/>
    </row>
    <row r="76" spans="1:24" ht="9.75" customHeight="1">
      <c r="A76" s="3" t="s">
        <v>15</v>
      </c>
      <c r="B76" s="5"/>
      <c r="E76" s="7"/>
      <c r="F76" s="15"/>
      <c r="T76" s="3"/>
      <c r="U76" s="3"/>
      <c r="X76" s="3"/>
    </row>
    <row r="77" spans="1:24" ht="9.75" customHeight="1">
      <c r="A77" s="4">
        <v>21</v>
      </c>
      <c r="B77" s="5"/>
      <c r="E77" s="7"/>
      <c r="F77" s="15"/>
      <c r="T77" s="3"/>
      <c r="U77" s="3"/>
      <c r="X77" s="3"/>
    </row>
    <row r="78" spans="2:24" ht="9.75" customHeight="1">
      <c r="B78" s="5"/>
      <c r="E78" s="7"/>
      <c r="F78" s="15"/>
      <c r="T78" s="3"/>
      <c r="U78" s="3"/>
      <c r="X78" s="3"/>
    </row>
    <row r="79" spans="2:24" ht="9.75" customHeight="1">
      <c r="B79" s="5"/>
      <c r="E79" s="7"/>
      <c r="F79" s="15"/>
      <c r="T79" s="3"/>
      <c r="U79" s="3"/>
      <c r="X79" s="3"/>
    </row>
    <row r="80" spans="2:24" ht="9.75" customHeight="1">
      <c r="B80" s="5"/>
      <c r="E80" s="7"/>
      <c r="F80" s="15"/>
      <c r="T80" s="3"/>
      <c r="U80" s="3"/>
      <c r="X80" s="3"/>
    </row>
    <row r="81" spans="2:24" ht="9.75" customHeight="1">
      <c r="B81" s="5"/>
      <c r="E81" s="7"/>
      <c r="F81" s="15"/>
      <c r="T81" s="3"/>
      <c r="U81" s="3"/>
      <c r="X81" s="3"/>
    </row>
    <row r="82" spans="1:24" ht="9.75" customHeight="1">
      <c r="A82" s="4"/>
      <c r="B82" s="5"/>
      <c r="E82" s="7"/>
      <c r="F82" s="15"/>
      <c r="T82" s="3"/>
      <c r="U82" s="3"/>
      <c r="X82" s="3"/>
    </row>
    <row r="83" spans="1:24" ht="9.75" customHeight="1">
      <c r="A83" s="4"/>
      <c r="B83" s="5"/>
      <c r="E83" s="7"/>
      <c r="F83" s="15"/>
      <c r="T83" s="3"/>
      <c r="U83" s="3"/>
      <c r="X83" s="3"/>
    </row>
    <row r="84" spans="1:24" ht="9.75" customHeight="1">
      <c r="A84" s="16" t="s">
        <v>255</v>
      </c>
      <c r="B84" s="19"/>
      <c r="C84" s="303"/>
      <c r="D84" s="304"/>
      <c r="E84" s="7"/>
      <c r="F84" s="15"/>
      <c r="T84" s="3"/>
      <c r="U84" s="3"/>
      <c r="X84" s="3"/>
    </row>
    <row r="85" spans="1:24" ht="9.75" customHeight="1">
      <c r="A85" s="4"/>
      <c r="B85" s="5"/>
      <c r="E85" s="7"/>
      <c r="F85" s="15"/>
      <c r="T85" s="3"/>
      <c r="U85" s="3"/>
      <c r="X85" s="3"/>
    </row>
    <row r="86" spans="2:24" ht="9.75" customHeight="1">
      <c r="B86" s="5"/>
      <c r="E86" s="7"/>
      <c r="F86" s="15"/>
      <c r="T86" s="3"/>
      <c r="U86" s="3"/>
      <c r="X86" s="3"/>
    </row>
    <row r="87" spans="2:24" ht="9.75" customHeight="1">
      <c r="B87" s="5"/>
      <c r="E87" s="7"/>
      <c r="F87" s="15"/>
      <c r="T87" s="3"/>
      <c r="U87" s="3"/>
      <c r="X87" s="3"/>
    </row>
    <row r="88" spans="2:24" ht="9.75" customHeight="1">
      <c r="B88" s="5"/>
      <c r="E88" s="7"/>
      <c r="F88" s="15"/>
      <c r="T88" s="3"/>
      <c r="U88" s="3"/>
      <c r="X88" s="3"/>
    </row>
    <row r="89" spans="2:24" ht="9.75" customHeight="1">
      <c r="B89" s="5"/>
      <c r="E89" s="7"/>
      <c r="F89" s="15"/>
      <c r="T89" s="3"/>
      <c r="U89" s="3"/>
      <c r="X89" s="3"/>
    </row>
    <row r="90" spans="2:24" ht="9.75" customHeight="1">
      <c r="B90" s="5"/>
      <c r="E90" s="7"/>
      <c r="F90" s="15"/>
      <c r="T90" s="3"/>
      <c r="U90" s="3"/>
      <c r="X90" s="3"/>
    </row>
    <row r="91" spans="2:24" ht="9.75" customHeight="1">
      <c r="B91" s="5"/>
      <c r="E91" s="7"/>
      <c r="F91" s="15"/>
      <c r="T91" s="3"/>
      <c r="U91" s="3"/>
      <c r="X91" s="3"/>
    </row>
    <row r="92" spans="2:24" ht="9.75" customHeight="1">
      <c r="B92" s="5"/>
      <c r="E92" s="7"/>
      <c r="F92" s="15"/>
      <c r="T92" s="3"/>
      <c r="U92" s="3"/>
      <c r="X92" s="3"/>
    </row>
    <row r="93" spans="5:24" ht="9.75" customHeight="1">
      <c r="E93" s="7"/>
      <c r="F93" s="15"/>
      <c r="T93" s="3"/>
      <c r="U93" s="3"/>
      <c r="X93" s="3"/>
    </row>
    <row r="94" spans="5:24" ht="9.75" customHeight="1">
      <c r="E94" s="7"/>
      <c r="F94" s="15"/>
      <c r="T94" s="3"/>
      <c r="U94" s="3"/>
      <c r="X94" s="3"/>
    </row>
    <row r="95" spans="5:24" ht="9.75" customHeight="1">
      <c r="E95" s="7"/>
      <c r="T95" s="3"/>
      <c r="U95" s="3"/>
      <c r="X95" s="3"/>
    </row>
    <row r="96" spans="5:24" ht="9.75" customHeight="1">
      <c r="E96" s="7"/>
      <c r="T96" s="3"/>
      <c r="U96" s="3"/>
      <c r="X96" s="3"/>
    </row>
    <row r="97" spans="5:24" ht="9.75" customHeight="1">
      <c r="E97" s="7"/>
      <c r="T97" s="3"/>
      <c r="U97" s="3"/>
      <c r="X97" s="3"/>
    </row>
    <row r="98" spans="5:24" ht="9.75" customHeight="1">
      <c r="E98" s="7"/>
      <c r="T98" s="3"/>
      <c r="U98" s="3"/>
      <c r="X98" s="3"/>
    </row>
    <row r="99" spans="5:24" ht="9.75" customHeight="1">
      <c r="E99" s="7"/>
      <c r="T99" s="3"/>
      <c r="U99" s="3"/>
      <c r="X99" s="3"/>
    </row>
    <row r="100" spans="5:24" ht="9.75" customHeight="1">
      <c r="E100" s="7"/>
      <c r="T100" s="3"/>
      <c r="U100" s="3"/>
      <c r="X100" s="3"/>
    </row>
    <row r="101" spans="5:24" ht="9.75" customHeight="1">
      <c r="E101" s="7"/>
      <c r="T101" s="3"/>
      <c r="U101" s="3"/>
      <c r="X101" s="3"/>
    </row>
    <row r="102" spans="5:24" ht="9.75" customHeight="1">
      <c r="E102" s="7"/>
      <c r="T102" s="3"/>
      <c r="U102" s="3"/>
      <c r="X102" s="3"/>
    </row>
    <row r="103" spans="5:24" ht="9.75" customHeight="1">
      <c r="E103" s="7"/>
      <c r="T103" s="3"/>
      <c r="U103" s="3"/>
      <c r="X103" s="3"/>
    </row>
    <row r="104" spans="5:24" ht="9.75" customHeight="1">
      <c r="E104" s="7"/>
      <c r="T104" s="3"/>
      <c r="U104" s="3"/>
      <c r="X104" s="3"/>
    </row>
    <row r="105" spans="5:24" ht="9.75" customHeight="1">
      <c r="E105" s="7"/>
      <c r="T105" s="3"/>
      <c r="U105" s="3"/>
      <c r="X105" s="3"/>
    </row>
    <row r="106" spans="5:24" ht="9.75" customHeight="1">
      <c r="E106" s="7"/>
      <c r="T106" s="3"/>
      <c r="U106" s="3"/>
      <c r="X106" s="3"/>
    </row>
    <row r="107" spans="5:24" ht="9.75" customHeight="1">
      <c r="E107" s="7"/>
      <c r="T107" s="3"/>
      <c r="U107" s="3"/>
      <c r="X107" s="3"/>
    </row>
    <row r="108" spans="5:24" ht="9.75" customHeight="1">
      <c r="E108" s="7"/>
      <c r="T108" s="3"/>
      <c r="U108" s="3"/>
      <c r="X108" s="3"/>
    </row>
    <row r="109" spans="5:24" ht="9.75" customHeight="1">
      <c r="E109" s="7"/>
      <c r="T109" s="3"/>
      <c r="U109" s="3"/>
      <c r="X109" s="3"/>
    </row>
    <row r="110" spans="5:24" ht="9.75" customHeight="1">
      <c r="E110" s="7"/>
      <c r="T110" s="3"/>
      <c r="U110" s="3"/>
      <c r="X110" s="3"/>
    </row>
    <row r="111" spans="5:24" ht="9.75" customHeight="1">
      <c r="E111" s="7"/>
      <c r="T111" s="3"/>
      <c r="U111" s="3"/>
      <c r="X111" s="3"/>
    </row>
    <row r="112" spans="5:24" ht="9.75" customHeight="1">
      <c r="E112" s="7"/>
      <c r="T112" s="3"/>
      <c r="U112" s="3"/>
      <c r="X112" s="3"/>
    </row>
    <row r="113" spans="5:24" ht="9.75" customHeight="1">
      <c r="E113" s="7"/>
      <c r="T113" s="3"/>
      <c r="U113" s="3"/>
      <c r="X113" s="3"/>
    </row>
    <row r="114" spans="5:24" ht="9.75" customHeight="1">
      <c r="E114" s="7"/>
      <c r="T114" s="3"/>
      <c r="U114" s="3"/>
      <c r="X114" s="3"/>
    </row>
    <row r="115" spans="5:24" ht="9.75" customHeight="1">
      <c r="E115" s="7"/>
      <c r="T115" s="3"/>
      <c r="U115" s="3"/>
      <c r="X115" s="3"/>
    </row>
    <row r="116" spans="5:24" ht="9.75" customHeight="1">
      <c r="E116" s="7"/>
      <c r="T116" s="3"/>
      <c r="U116" s="3"/>
      <c r="X116" s="3"/>
    </row>
    <row r="117" spans="5:24" ht="9.75" customHeight="1">
      <c r="E117" s="7"/>
      <c r="T117" s="3"/>
      <c r="U117" s="3"/>
      <c r="X117" s="3"/>
    </row>
    <row r="118" spans="5:24" ht="9.75" customHeight="1">
      <c r="E118" s="7"/>
      <c r="T118" s="3"/>
      <c r="U118" s="3"/>
      <c r="X118" s="3"/>
    </row>
    <row r="119" spans="5:24" ht="9.75" customHeight="1">
      <c r="E119" s="7"/>
      <c r="T119" s="3"/>
      <c r="U119" s="3"/>
      <c r="X119" s="3"/>
    </row>
    <row r="120" spans="5:24" ht="9.75" customHeight="1">
      <c r="E120" s="7"/>
      <c r="T120" s="3"/>
      <c r="U120" s="3"/>
      <c r="X120" s="3"/>
    </row>
    <row r="121" spans="5:24" ht="9.75" customHeight="1">
      <c r="E121" s="7"/>
      <c r="T121" s="3"/>
      <c r="U121" s="3"/>
      <c r="X121" s="3"/>
    </row>
    <row r="122" spans="5:24" ht="9.75" customHeight="1">
      <c r="E122" s="7"/>
      <c r="T122" s="3"/>
      <c r="U122" s="3"/>
      <c r="X122" s="3"/>
    </row>
    <row r="123" spans="5:24" ht="9.75" customHeight="1">
      <c r="E123" s="7"/>
      <c r="T123" s="3"/>
      <c r="U123" s="3"/>
      <c r="X123" s="3"/>
    </row>
    <row r="124" spans="5:24" ht="9.75" customHeight="1">
      <c r="E124" s="7"/>
      <c r="T124" s="3"/>
      <c r="U124" s="3"/>
      <c r="X124" s="3"/>
    </row>
    <row r="125" spans="5:24" ht="9.75" customHeight="1">
      <c r="E125" s="7"/>
      <c r="T125" s="3"/>
      <c r="U125" s="3"/>
      <c r="X125" s="3"/>
    </row>
    <row r="126" spans="5:24" ht="9.75" customHeight="1">
      <c r="E126" s="7"/>
      <c r="T126" s="3"/>
      <c r="U126" s="3"/>
      <c r="X126" s="3"/>
    </row>
    <row r="127" spans="5:24" ht="9.75" customHeight="1">
      <c r="E127" s="7"/>
      <c r="T127" s="3"/>
      <c r="U127" s="3"/>
      <c r="X127" s="3"/>
    </row>
    <row r="128" spans="5:24" ht="9.75" customHeight="1">
      <c r="E128" s="7"/>
      <c r="T128" s="3"/>
      <c r="U128" s="3"/>
      <c r="X128" s="3"/>
    </row>
    <row r="129" spans="5:24" ht="9.75" customHeight="1">
      <c r="E129" s="7"/>
      <c r="T129" s="3"/>
      <c r="U129" s="3"/>
      <c r="X129" s="3"/>
    </row>
    <row r="130" spans="5:24" ht="9.75" customHeight="1">
      <c r="E130" s="7"/>
      <c r="T130" s="3"/>
      <c r="U130" s="3"/>
      <c r="X130" s="3"/>
    </row>
    <row r="131" spans="5:24" ht="9.75" customHeight="1">
      <c r="E131" s="7"/>
      <c r="T131" s="3"/>
      <c r="U131" s="3"/>
      <c r="X131" s="3"/>
    </row>
    <row r="132" spans="5:24" ht="9.75" customHeight="1">
      <c r="E132" s="7"/>
      <c r="T132" s="3"/>
      <c r="U132" s="3"/>
      <c r="X132" s="3"/>
    </row>
    <row r="133" spans="5:24" ht="9.75" customHeight="1">
      <c r="E133" s="7"/>
      <c r="T133" s="3"/>
      <c r="U133" s="3"/>
      <c r="X133" s="3"/>
    </row>
    <row r="134" spans="5:24" ht="9.75" customHeight="1">
      <c r="E134" s="7"/>
      <c r="T134" s="3"/>
      <c r="U134" s="3"/>
      <c r="X134" s="3"/>
    </row>
    <row r="135" spans="5:24" ht="9.75" customHeight="1">
      <c r="E135" s="7"/>
      <c r="T135" s="3"/>
      <c r="U135" s="3"/>
      <c r="X135" s="3"/>
    </row>
    <row r="136" spans="5:24" ht="9.75" customHeight="1">
      <c r="E136" s="7"/>
      <c r="T136" s="3"/>
      <c r="U136" s="3"/>
      <c r="X136" s="3"/>
    </row>
    <row r="137" spans="5:24" ht="9.75" customHeight="1">
      <c r="E137" s="7"/>
      <c r="T137" s="3"/>
      <c r="U137" s="3"/>
      <c r="X137" s="3"/>
    </row>
    <row r="138" spans="5:24" ht="9.75" customHeight="1">
      <c r="E138" s="7"/>
      <c r="T138" s="3"/>
      <c r="U138" s="3"/>
      <c r="X138" s="3"/>
    </row>
    <row r="139" spans="5:24" ht="9.75" customHeight="1">
      <c r="E139" s="7"/>
      <c r="T139" s="3"/>
      <c r="U139" s="3"/>
      <c r="X139" s="3"/>
    </row>
    <row r="140" spans="5:24" ht="9.75" customHeight="1">
      <c r="E140" s="7"/>
      <c r="T140" s="3"/>
      <c r="U140" s="3"/>
      <c r="X140" s="3"/>
    </row>
    <row r="141" spans="5:24" ht="9.75" customHeight="1">
      <c r="E141" s="7"/>
      <c r="T141" s="3"/>
      <c r="U141" s="3"/>
      <c r="X141" s="3"/>
    </row>
    <row r="142" spans="5:24" ht="9.75" customHeight="1">
      <c r="E142" s="7"/>
      <c r="T142" s="3"/>
      <c r="U142" s="3"/>
      <c r="X142" s="3"/>
    </row>
    <row r="143" spans="5:24" ht="9.75" customHeight="1">
      <c r="E143" s="7"/>
      <c r="T143" s="3"/>
      <c r="U143" s="3"/>
      <c r="X143" s="3"/>
    </row>
    <row r="144" spans="5:24" ht="9.75" customHeight="1">
      <c r="E144" s="7"/>
      <c r="T144" s="3"/>
      <c r="U144" s="3"/>
      <c r="X144" s="3"/>
    </row>
    <row r="145" spans="5:24" ht="9.75" customHeight="1">
      <c r="E145" s="7"/>
      <c r="T145" s="3"/>
      <c r="U145" s="3"/>
      <c r="X145" s="3"/>
    </row>
    <row r="146" spans="5:24" ht="9.75" customHeight="1">
      <c r="E146" s="7"/>
      <c r="T146" s="3"/>
      <c r="U146" s="3"/>
      <c r="X146" s="3"/>
    </row>
    <row r="147" spans="5:24" ht="9.75" customHeight="1">
      <c r="E147" s="7"/>
      <c r="T147" s="3"/>
      <c r="U147" s="3"/>
      <c r="X147" s="3"/>
    </row>
    <row r="148" spans="5:24" ht="9.75" customHeight="1">
      <c r="E148" s="7"/>
      <c r="T148" s="3"/>
      <c r="U148" s="3"/>
      <c r="X148" s="3"/>
    </row>
    <row r="149" spans="5:24" ht="9.75" customHeight="1">
      <c r="E149" s="7"/>
      <c r="T149" s="3"/>
      <c r="U149" s="3"/>
      <c r="X149" s="3"/>
    </row>
    <row r="150" spans="5:24" ht="9.75" customHeight="1">
      <c r="E150" s="7"/>
      <c r="T150" s="3"/>
      <c r="U150" s="3"/>
      <c r="X150" s="3"/>
    </row>
    <row r="151" spans="5:24" ht="9.75" customHeight="1">
      <c r="E151" s="7"/>
      <c r="T151" s="3"/>
      <c r="U151" s="3"/>
      <c r="X151" s="3"/>
    </row>
    <row r="152" spans="5:24" ht="9.75" customHeight="1">
      <c r="E152" s="7"/>
      <c r="T152" s="3"/>
      <c r="U152" s="3"/>
      <c r="X152" s="3"/>
    </row>
    <row r="153" spans="5:24" ht="9.75" customHeight="1">
      <c r="E153" s="7"/>
      <c r="T153" s="3"/>
      <c r="U153" s="3"/>
      <c r="X153" s="3"/>
    </row>
    <row r="154" spans="5:24" ht="9.75" customHeight="1">
      <c r="E154" s="7"/>
      <c r="T154" s="3"/>
      <c r="U154" s="3"/>
      <c r="X154" s="3"/>
    </row>
    <row r="155" spans="5:24" ht="9.75" customHeight="1">
      <c r="E155" s="7"/>
      <c r="T155" s="3"/>
      <c r="U155" s="3"/>
      <c r="X155" s="3"/>
    </row>
    <row r="156" spans="5:24" ht="9.75" customHeight="1">
      <c r="E156" s="7"/>
      <c r="T156" s="3"/>
      <c r="U156" s="3"/>
      <c r="X156" s="3"/>
    </row>
    <row r="157" spans="5:24" ht="9.75" customHeight="1">
      <c r="E157" s="7"/>
      <c r="T157" s="3"/>
      <c r="U157" s="3"/>
      <c r="X157" s="3"/>
    </row>
    <row r="158" spans="5:24" ht="9.75" customHeight="1">
      <c r="E158" s="7"/>
      <c r="T158" s="3"/>
      <c r="U158" s="3"/>
      <c r="X158" s="3"/>
    </row>
    <row r="159" spans="5:24" ht="9.75" customHeight="1">
      <c r="E159" s="7"/>
      <c r="T159" s="3"/>
      <c r="U159" s="3"/>
      <c r="X159" s="3"/>
    </row>
    <row r="160" spans="5:24" ht="9.75" customHeight="1">
      <c r="E160" s="7"/>
      <c r="T160" s="3"/>
      <c r="U160" s="3"/>
      <c r="X160" s="3"/>
    </row>
    <row r="161" spans="5:24" ht="9.75" customHeight="1">
      <c r="E161" s="7"/>
      <c r="T161" s="3"/>
      <c r="U161" s="3"/>
      <c r="X161" s="3"/>
    </row>
    <row r="162" spans="5:24" ht="9.75" customHeight="1">
      <c r="E162" s="7"/>
      <c r="T162" s="3"/>
      <c r="U162" s="3"/>
      <c r="X162" s="3"/>
    </row>
    <row r="163" spans="5:24" ht="9.75" customHeight="1">
      <c r="E163" s="7"/>
      <c r="T163" s="3"/>
      <c r="U163" s="3"/>
      <c r="X163" s="3"/>
    </row>
    <row r="164" spans="5:24" ht="9.75" customHeight="1">
      <c r="E164" s="7"/>
      <c r="T164" s="3"/>
      <c r="U164" s="3"/>
      <c r="X164" s="3"/>
    </row>
    <row r="165" spans="5:24" ht="9.75" customHeight="1">
      <c r="E165" s="7"/>
      <c r="T165" s="3"/>
      <c r="U165" s="3"/>
      <c r="X165" s="3"/>
    </row>
    <row r="166" spans="5:24" ht="9.75" customHeight="1">
      <c r="E166" s="7"/>
      <c r="T166" s="3"/>
      <c r="U166" s="3"/>
      <c r="X166" s="3"/>
    </row>
    <row r="167" spans="5:24" ht="9.75" customHeight="1">
      <c r="E167" s="7"/>
      <c r="T167" s="3"/>
      <c r="U167" s="3"/>
      <c r="X167" s="3"/>
    </row>
    <row r="168" spans="5:24" ht="9.75" customHeight="1">
      <c r="E168" s="7"/>
      <c r="T168" s="3"/>
      <c r="U168" s="3"/>
      <c r="X168" s="3"/>
    </row>
    <row r="169" spans="5:24" ht="9.75" customHeight="1">
      <c r="E169" s="7"/>
      <c r="T169" s="3"/>
      <c r="U169" s="3"/>
      <c r="X169" s="3"/>
    </row>
    <row r="170" spans="5:24" ht="9.75" customHeight="1">
      <c r="E170" s="7"/>
      <c r="T170" s="3"/>
      <c r="U170" s="3"/>
      <c r="X170" s="3"/>
    </row>
    <row r="171" spans="5:24" ht="9.75" customHeight="1">
      <c r="E171" s="7"/>
      <c r="T171" s="3"/>
      <c r="U171" s="3"/>
      <c r="X171" s="3"/>
    </row>
    <row r="172" spans="5:24" ht="9.75" customHeight="1">
      <c r="E172" s="7"/>
      <c r="T172" s="3"/>
      <c r="U172" s="3"/>
      <c r="X172" s="3"/>
    </row>
    <row r="173" spans="5:24" ht="9.75" customHeight="1">
      <c r="E173" s="7"/>
      <c r="T173" s="3"/>
      <c r="U173" s="3"/>
      <c r="X173" s="3"/>
    </row>
    <row r="174" spans="5:24" ht="9.75" customHeight="1">
      <c r="E174" s="7"/>
      <c r="T174" s="3"/>
      <c r="U174" s="3"/>
      <c r="X174" s="3"/>
    </row>
    <row r="175" spans="5:24" ht="9.75" customHeight="1">
      <c r="E175" s="7"/>
      <c r="T175" s="3"/>
      <c r="U175" s="3"/>
      <c r="X175" s="3"/>
    </row>
    <row r="176" spans="5:24" ht="9.75" customHeight="1">
      <c r="E176" s="7"/>
      <c r="T176" s="3"/>
      <c r="U176" s="3"/>
      <c r="X176" s="3"/>
    </row>
    <row r="177" spans="5:24" ht="9.75" customHeight="1">
      <c r="E177" s="7"/>
      <c r="T177" s="3"/>
      <c r="U177" s="3"/>
      <c r="X177" s="3"/>
    </row>
    <row r="178" spans="5:24" ht="9.75" customHeight="1">
      <c r="E178" s="7"/>
      <c r="T178" s="3"/>
      <c r="U178" s="3"/>
      <c r="X178" s="3"/>
    </row>
    <row r="179" spans="5:24" ht="9.75" customHeight="1">
      <c r="E179" s="7"/>
      <c r="T179" s="3"/>
      <c r="U179" s="3"/>
      <c r="X179" s="3"/>
    </row>
    <row r="180" spans="5:24" ht="9.75" customHeight="1">
      <c r="E180" s="7"/>
      <c r="T180" s="3"/>
      <c r="U180" s="3"/>
      <c r="X180" s="3"/>
    </row>
    <row r="181" spans="5:24" ht="9.75" customHeight="1">
      <c r="E181" s="7"/>
      <c r="T181" s="3"/>
      <c r="U181" s="3"/>
      <c r="X181" s="3"/>
    </row>
    <row r="182" spans="5:24" ht="9.75" customHeight="1">
      <c r="E182" s="7"/>
      <c r="T182" s="3"/>
      <c r="U182" s="3"/>
      <c r="X182" s="3"/>
    </row>
    <row r="183" spans="5:24" ht="9.75" customHeight="1">
      <c r="E183" s="7"/>
      <c r="T183" s="3"/>
      <c r="U183" s="3"/>
      <c r="X183" s="3"/>
    </row>
    <row r="184" spans="5:24" ht="9.75" customHeight="1">
      <c r="E184" s="7"/>
      <c r="T184" s="3"/>
      <c r="U184" s="3"/>
      <c r="X184" s="3"/>
    </row>
    <row r="185" spans="5:24" ht="9.75" customHeight="1">
      <c r="E185" s="7"/>
      <c r="T185" s="3"/>
      <c r="U185" s="3"/>
      <c r="X185" s="3"/>
    </row>
    <row r="186" spans="5:24" ht="9.75" customHeight="1">
      <c r="E186" s="7"/>
      <c r="T186" s="3"/>
      <c r="U186" s="3"/>
      <c r="X186" s="3"/>
    </row>
    <row r="187" spans="5:24" ht="9.75" customHeight="1">
      <c r="E187" s="7"/>
      <c r="T187" s="3"/>
      <c r="U187" s="3"/>
      <c r="X187" s="3"/>
    </row>
    <row r="188" spans="5:24" ht="9.75" customHeight="1">
      <c r="E188" s="7"/>
      <c r="T188" s="3"/>
      <c r="U188" s="3"/>
      <c r="X188" s="3"/>
    </row>
    <row r="189" spans="5:24" ht="9.75" customHeight="1">
      <c r="E189" s="7"/>
      <c r="T189" s="3"/>
      <c r="U189" s="3"/>
      <c r="X189" s="3"/>
    </row>
  </sheetData>
  <mergeCells count="9">
    <mergeCell ref="C56:D56"/>
    <mergeCell ref="C66:D66"/>
    <mergeCell ref="C75:D75"/>
    <mergeCell ref="C84:D84"/>
    <mergeCell ref="C44:D44"/>
    <mergeCell ref="C7:D7"/>
    <mergeCell ref="C17:D17"/>
    <mergeCell ref="C26:D26"/>
    <mergeCell ref="C35:D35"/>
  </mergeCells>
  <printOptions/>
  <pageMargins left="0.75" right="0.75" top="1" bottom="1" header="0.4921259845" footer="0.4921259845"/>
  <pageSetup horizontalDpi="300" verticalDpi="300" orientation="landscape" paperSize="9" r:id="rId4"/>
  <headerFooter alignWithMargins="0">
    <oddHeader>&amp;LKitenge Somwé&amp;C&amp;A&amp;R&amp;D</oddHeader>
    <oddFooter>&amp;C&amp;F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U40"/>
  <sheetViews>
    <sheetView workbookViewId="0" topLeftCell="A1">
      <selection activeCell="A36" sqref="A36"/>
    </sheetView>
  </sheetViews>
  <sheetFormatPr defaultColWidth="11.421875" defaultRowHeight="12.75"/>
  <cols>
    <col min="1" max="1" width="13.00390625" style="101" customWidth="1"/>
    <col min="2" max="2" width="11.00390625" style="101" customWidth="1"/>
    <col min="3" max="3" width="7.8515625" style="101" customWidth="1"/>
    <col min="4" max="4" width="3.8515625" style="101" customWidth="1"/>
    <col min="5" max="5" width="2.8515625" style="101" customWidth="1"/>
    <col min="6" max="6" width="5.140625" style="101" customWidth="1"/>
    <col min="7" max="7" width="5.57421875" style="101" customWidth="1"/>
    <col min="8" max="8" width="5.421875" style="101" customWidth="1"/>
    <col min="9" max="9" width="5.28125" style="101" customWidth="1"/>
    <col min="10" max="10" width="5.421875" style="101" customWidth="1"/>
    <col min="11" max="11" width="5.00390625" style="101" customWidth="1"/>
    <col min="12" max="12" width="5.421875" style="101" customWidth="1"/>
    <col min="13" max="13" width="5.57421875" style="101" customWidth="1"/>
    <col min="14" max="14" width="5.140625" style="101" customWidth="1"/>
    <col min="15" max="15" width="5.7109375" style="101" customWidth="1"/>
    <col min="16" max="16" width="5.57421875" style="101" customWidth="1"/>
    <col min="17" max="17" width="5.28125" style="101" customWidth="1"/>
    <col min="18" max="18" width="5.421875" style="101" customWidth="1"/>
    <col min="19" max="19" width="5.140625" style="101" customWidth="1"/>
    <col min="20" max="20" width="7.140625" style="101" customWidth="1"/>
    <col min="21" max="21" width="8.57421875" style="101" customWidth="1"/>
    <col min="22" max="22" width="5.28125" style="101" customWidth="1"/>
    <col min="23" max="23" width="5.00390625" style="101" customWidth="1"/>
    <col min="24" max="24" width="6.421875" style="101" customWidth="1"/>
    <col min="25" max="16384" width="20.57421875" style="101" customWidth="1"/>
  </cols>
  <sheetData>
    <row r="1" spans="1:16" ht="41.25" customHeight="1">
      <c r="A1" s="95" t="s">
        <v>298</v>
      </c>
      <c r="B1" s="96" t="s">
        <v>335</v>
      </c>
      <c r="C1" s="97">
        <f ca="1">TODAY()</f>
        <v>35949</v>
      </c>
      <c r="D1" s="98"/>
      <c r="E1" s="98"/>
      <c r="F1" s="97"/>
      <c r="G1" s="99"/>
      <c r="H1" s="100" t="s">
        <v>300</v>
      </c>
      <c r="I1" s="100"/>
      <c r="L1" s="102"/>
      <c r="M1" s="102"/>
      <c r="O1" s="99" t="s">
        <v>125</v>
      </c>
      <c r="P1" s="99"/>
    </row>
    <row r="2" spans="1:21" ht="44.25" customHeight="1">
      <c r="A2" s="103" t="s">
        <v>336</v>
      </c>
      <c r="B2" s="104" t="s">
        <v>339</v>
      </c>
      <c r="C2" s="105" t="s">
        <v>303</v>
      </c>
      <c r="D2" s="265" t="s">
        <v>344</v>
      </c>
      <c r="E2" s="265"/>
      <c r="F2" s="106" t="s">
        <v>305</v>
      </c>
      <c r="G2" s="106" t="s">
        <v>306</v>
      </c>
      <c r="H2" s="106" t="s">
        <v>307</v>
      </c>
      <c r="I2" s="106" t="s">
        <v>338</v>
      </c>
      <c r="J2" s="106" t="s">
        <v>95</v>
      </c>
      <c r="K2" s="106" t="s">
        <v>96</v>
      </c>
      <c r="L2" s="107" t="s">
        <v>308</v>
      </c>
      <c r="M2" s="106" t="s">
        <v>309</v>
      </c>
      <c r="N2" s="106" t="s">
        <v>310</v>
      </c>
      <c r="O2" s="106" t="s">
        <v>311</v>
      </c>
      <c r="P2" s="106" t="s">
        <v>312</v>
      </c>
      <c r="Q2" s="106" t="s">
        <v>343</v>
      </c>
      <c r="R2" s="106" t="s">
        <v>314</v>
      </c>
      <c r="S2" s="108" t="s">
        <v>105</v>
      </c>
      <c r="T2" s="106" t="s">
        <v>315</v>
      </c>
      <c r="U2" s="109" t="s">
        <v>176</v>
      </c>
    </row>
    <row r="3" spans="1:21" ht="10.5" customHeight="1">
      <c r="A3" s="110" t="s">
        <v>337</v>
      </c>
      <c r="C3" s="111">
        <v>35796</v>
      </c>
      <c r="D3" s="266">
        <v>98090</v>
      </c>
      <c r="E3" s="266"/>
      <c r="F3" s="112">
        <v>0</v>
      </c>
      <c r="G3" s="112">
        <v>600</v>
      </c>
      <c r="H3" s="112">
        <v>300</v>
      </c>
      <c r="I3" s="112">
        <v>40</v>
      </c>
      <c r="J3" s="112">
        <v>60</v>
      </c>
      <c r="K3" s="112">
        <v>30</v>
      </c>
      <c r="L3" s="113">
        <v>1200</v>
      </c>
      <c r="M3" s="112">
        <v>1600</v>
      </c>
      <c r="N3" s="112">
        <v>500</v>
      </c>
      <c r="O3" s="112">
        <v>800</v>
      </c>
      <c r="P3" s="112">
        <v>40</v>
      </c>
      <c r="Q3" s="112">
        <v>300</v>
      </c>
      <c r="R3" s="112">
        <v>70</v>
      </c>
      <c r="S3" s="112">
        <v>60</v>
      </c>
      <c r="T3" s="112">
        <v>300</v>
      </c>
      <c r="U3" s="114">
        <f>SUM(G3:T3)</f>
        <v>5900</v>
      </c>
    </row>
    <row r="4" spans="1:21" ht="10.5" customHeight="1">
      <c r="A4" s="115">
        <v>35796</v>
      </c>
      <c r="B4" s="116">
        <v>90870</v>
      </c>
      <c r="C4" s="117"/>
      <c r="D4" s="117"/>
      <c r="F4" s="118">
        <f>F3/D3</f>
        <v>0</v>
      </c>
      <c r="G4" s="119">
        <f>G3/D3</f>
        <v>0.00611683148129269</v>
      </c>
      <c r="H4" s="169">
        <f>H3/D3</f>
        <v>0.003058415740646345</v>
      </c>
      <c r="I4" s="169">
        <f>I3/D3</f>
        <v>0.0004077887654195127</v>
      </c>
      <c r="J4" s="120">
        <f>J3/D3</f>
        <v>0.0006116831481292691</v>
      </c>
      <c r="K4" s="120">
        <f>K3/D3</f>
        <v>0.00030584157406463453</v>
      </c>
      <c r="L4" s="120">
        <f>L3/D3</f>
        <v>0.01223366296258538</v>
      </c>
      <c r="M4" s="120">
        <f>M3/D3</f>
        <v>0.016311550616780506</v>
      </c>
      <c r="N4" s="169">
        <f>N3/D3</f>
        <v>0.005097359567743908</v>
      </c>
      <c r="O4" s="121">
        <f>O3/D3</f>
        <v>0.008155775308390253</v>
      </c>
      <c r="P4" s="121">
        <f>P3/D3</f>
        <v>0.0004077887654195127</v>
      </c>
      <c r="Q4" s="120">
        <f>Q3/D3</f>
        <v>0.003058415740646345</v>
      </c>
      <c r="R4" s="120">
        <f>R3/D3</f>
        <v>0.0007136303394841472</v>
      </c>
      <c r="S4" s="120">
        <f>S3/D3</f>
        <v>0.0006116831481292691</v>
      </c>
      <c r="T4" s="120">
        <f>T3/D3</f>
        <v>0.003058415740646345</v>
      </c>
      <c r="U4" s="122">
        <f>U3/D3</f>
        <v>0.06014884289937812</v>
      </c>
    </row>
    <row r="5" spans="1:21" ht="10.5" customHeight="1">
      <c r="A5" s="123">
        <v>35827</v>
      </c>
      <c r="B5" s="124">
        <v>80482</v>
      </c>
      <c r="C5" s="128">
        <v>35827</v>
      </c>
      <c r="D5" s="266">
        <v>86436</v>
      </c>
      <c r="E5" s="267"/>
      <c r="F5" s="126">
        <v>0</v>
      </c>
      <c r="G5" s="126">
        <v>500</v>
      </c>
      <c r="H5" s="112">
        <v>300</v>
      </c>
      <c r="I5" s="112">
        <v>40</v>
      </c>
      <c r="J5" s="112">
        <v>30</v>
      </c>
      <c r="K5" s="112">
        <v>10</v>
      </c>
      <c r="L5" s="113">
        <v>800</v>
      </c>
      <c r="M5" s="112">
        <v>900</v>
      </c>
      <c r="N5" s="112">
        <v>100</v>
      </c>
      <c r="O5" s="112">
        <v>900</v>
      </c>
      <c r="P5" s="112">
        <v>10</v>
      </c>
      <c r="Q5" s="112">
        <v>300</v>
      </c>
      <c r="R5" s="112">
        <v>0</v>
      </c>
      <c r="S5" s="112">
        <v>60</v>
      </c>
      <c r="T5" s="112">
        <v>300</v>
      </c>
      <c r="U5" s="114">
        <f>SUM(F5:T5)</f>
        <v>4250</v>
      </c>
    </row>
    <row r="6" spans="1:21" ht="10.5" customHeight="1">
      <c r="A6" s="123">
        <v>35855</v>
      </c>
      <c r="B6" s="124">
        <v>65942</v>
      </c>
      <c r="C6" s="124"/>
      <c r="D6" s="127"/>
      <c r="E6" s="117"/>
      <c r="F6" s="119">
        <f>F5/D5</f>
        <v>0</v>
      </c>
      <c r="G6" s="119">
        <f>G5/D5</f>
        <v>0.00578462677588042</v>
      </c>
      <c r="H6" s="120">
        <f>H5/D5</f>
        <v>0.003470776065528252</v>
      </c>
      <c r="I6" s="169">
        <f>I5/D5</f>
        <v>0.00046277014207043364</v>
      </c>
      <c r="J6" s="120">
        <f>J5/D5</f>
        <v>0.0003470776065528252</v>
      </c>
      <c r="K6" s="120">
        <f>K5/D5</f>
        <v>0.00011569253551760841</v>
      </c>
      <c r="L6" s="120">
        <f>L5/D5</f>
        <v>0.009255402841408673</v>
      </c>
      <c r="M6" s="120">
        <f>M5/D5</f>
        <v>0.010412328196584756</v>
      </c>
      <c r="N6" s="117"/>
      <c r="O6" s="121">
        <f>O5/D5</f>
        <v>0.010412328196584756</v>
      </c>
      <c r="P6" s="117"/>
      <c r="Q6" s="120">
        <f>Q5/D5</f>
        <v>0.003470776065528252</v>
      </c>
      <c r="R6" s="120">
        <f>R5/D5</f>
        <v>0</v>
      </c>
      <c r="S6" s="120">
        <f>S5/D5</f>
        <v>0.0006941552131056504</v>
      </c>
      <c r="T6" s="120">
        <f>T5/D5</f>
        <v>0.003470776065528252</v>
      </c>
      <c r="U6" s="122">
        <f>U5/D5</f>
        <v>0.049169327594983575</v>
      </c>
    </row>
    <row r="7" spans="1:21" ht="10.5" customHeight="1">
      <c r="A7" s="123">
        <v>35886</v>
      </c>
      <c r="B7" s="124">
        <v>56626</v>
      </c>
      <c r="C7" s="128">
        <v>35855</v>
      </c>
      <c r="D7" s="268">
        <v>68330</v>
      </c>
      <c r="E7" s="268"/>
      <c r="F7" s="126">
        <v>0</v>
      </c>
      <c r="G7" s="126">
        <v>400</v>
      </c>
      <c r="H7" s="129">
        <v>250</v>
      </c>
      <c r="I7" s="129">
        <v>60</v>
      </c>
      <c r="J7" s="112">
        <v>20</v>
      </c>
      <c r="K7" s="112">
        <v>10</v>
      </c>
      <c r="L7" s="112">
        <v>800</v>
      </c>
      <c r="M7" s="112">
        <v>900</v>
      </c>
      <c r="N7" s="112">
        <v>40</v>
      </c>
      <c r="O7" s="112">
        <v>800</v>
      </c>
      <c r="P7" s="112">
        <v>30</v>
      </c>
      <c r="Q7" s="112">
        <v>300</v>
      </c>
      <c r="R7" s="112">
        <v>70</v>
      </c>
      <c r="S7" s="112">
        <v>60</v>
      </c>
      <c r="T7" s="112">
        <v>300</v>
      </c>
      <c r="U7" s="114">
        <f>SUM(F7:T7)</f>
        <v>4040</v>
      </c>
    </row>
    <row r="8" spans="1:21" ht="10.5" customHeight="1">
      <c r="A8" s="136">
        <v>35916</v>
      </c>
      <c r="B8" s="137">
        <v>36096</v>
      </c>
      <c r="C8" s="124"/>
      <c r="D8" s="117"/>
      <c r="E8" s="117"/>
      <c r="F8" s="119">
        <f>F7/D7</f>
        <v>0</v>
      </c>
      <c r="G8" s="130">
        <f>G7/D7</f>
        <v>0.005853944094833894</v>
      </c>
      <c r="H8" s="130">
        <f>H7/D7</f>
        <v>0.0036587150592711838</v>
      </c>
      <c r="I8" s="170">
        <f>I7/D7</f>
        <v>0.0008780916142250841</v>
      </c>
      <c r="J8" s="131">
        <f>J7/D7</f>
        <v>0.0002926972047416947</v>
      </c>
      <c r="K8" s="131">
        <f>K7/D7</f>
        <v>0.00014634860237084735</v>
      </c>
      <c r="L8" s="131">
        <f>L7/D7</f>
        <v>0.011707888189667788</v>
      </c>
      <c r="M8" s="131">
        <f>M7/D7</f>
        <v>0.013171374213376262</v>
      </c>
      <c r="N8" s="131">
        <f>N7/D7</f>
        <v>0.0005853944094833894</v>
      </c>
      <c r="O8" s="131">
        <f>O7/D7</f>
        <v>0.011707888189667788</v>
      </c>
      <c r="P8" s="131">
        <f>P7/D7</f>
        <v>0.00043904580711254205</v>
      </c>
      <c r="Q8" s="131">
        <f>Q7/D7</f>
        <v>0.0043904580711254205</v>
      </c>
      <c r="R8" s="131">
        <f>R7/D7</f>
        <v>0.0010244402165959315</v>
      </c>
      <c r="S8" s="131">
        <f>S7/D7</f>
        <v>0.0008780916142250841</v>
      </c>
      <c r="T8" s="131">
        <f>T7/D7</f>
        <v>0.0043904580711254205</v>
      </c>
      <c r="U8" s="132">
        <f>U7/D7</f>
        <v>0.059124835357822335</v>
      </c>
    </row>
    <row r="9" spans="2:21" s="135" customFormat="1" ht="10.5" customHeight="1">
      <c r="B9" s="124"/>
      <c r="C9" s="174">
        <v>35886</v>
      </c>
      <c r="D9" s="253">
        <v>31370</v>
      </c>
      <c r="E9" s="253"/>
      <c r="F9" s="133">
        <v>0</v>
      </c>
      <c r="G9" s="133">
        <v>280</v>
      </c>
      <c r="H9" s="133">
        <v>200</v>
      </c>
      <c r="I9" s="133">
        <v>60</v>
      </c>
      <c r="J9" s="133">
        <v>50</v>
      </c>
      <c r="K9" s="133">
        <v>10</v>
      </c>
      <c r="L9" s="133">
        <v>400</v>
      </c>
      <c r="M9" s="133">
        <v>600</v>
      </c>
      <c r="N9" s="133">
        <v>60</v>
      </c>
      <c r="O9" s="133">
        <v>600</v>
      </c>
      <c r="P9" s="133">
        <v>30</v>
      </c>
      <c r="Q9" s="133">
        <v>200</v>
      </c>
      <c r="R9" s="133">
        <v>70</v>
      </c>
      <c r="S9" s="133">
        <v>60</v>
      </c>
      <c r="T9" s="133">
        <v>250</v>
      </c>
      <c r="U9" s="134">
        <f>SUM(F9:T9)</f>
        <v>2870</v>
      </c>
    </row>
    <row r="10" spans="3:21" ht="10.5" customHeight="1">
      <c r="C10" s="124"/>
      <c r="D10" s="127"/>
      <c r="E10" s="138"/>
      <c r="F10" s="119">
        <f>F9/D9</f>
        <v>0</v>
      </c>
      <c r="G10" s="130">
        <f>G9/D9</f>
        <v>0.008925725215173734</v>
      </c>
      <c r="H10" s="130">
        <f>H9/D9</f>
        <v>0.006375518010838381</v>
      </c>
      <c r="I10" s="170">
        <f>I9/D9</f>
        <v>0.001912655403251514</v>
      </c>
      <c r="J10" s="131">
        <f>J9/D9</f>
        <v>0.0015938795027095952</v>
      </c>
      <c r="K10" s="131">
        <f>K9/D9</f>
        <v>0.000318775900541919</v>
      </c>
      <c r="L10" s="131">
        <f>L9/D9</f>
        <v>0.012751036021676761</v>
      </c>
      <c r="M10" s="131">
        <f>M9/D9</f>
        <v>0.01912655403251514</v>
      </c>
      <c r="N10" s="131">
        <f>N9/D9</f>
        <v>0.001912655403251514</v>
      </c>
      <c r="O10" s="131">
        <f>O9/D9</f>
        <v>0.01912655403251514</v>
      </c>
      <c r="P10" s="131">
        <f>P9/D9</f>
        <v>0.000956327701625757</v>
      </c>
      <c r="Q10" s="131">
        <f>Q9/D9</f>
        <v>0.006375518010838381</v>
      </c>
      <c r="R10" s="131">
        <f>R9/D9</f>
        <v>0.0022314313037934334</v>
      </c>
      <c r="S10" s="131">
        <f>S9/D9</f>
        <v>0.001912655403251514</v>
      </c>
      <c r="T10" s="131">
        <f>T9/D9</f>
        <v>0.007969397513547976</v>
      </c>
      <c r="U10" s="132">
        <f>U9/D9</f>
        <v>0.09148868345553077</v>
      </c>
    </row>
    <row r="11" spans="1:21" ht="10.5" customHeight="1">
      <c r="A11" s="124"/>
      <c r="C11" s="128">
        <v>35916</v>
      </c>
      <c r="D11" s="268">
        <v>36093</v>
      </c>
      <c r="E11" s="268"/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1100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34">
        <f>SUM(F11:T11)</f>
        <v>1100</v>
      </c>
    </row>
    <row r="12" spans="1:21" ht="10.5" customHeight="1">
      <c r="A12" s="124"/>
      <c r="B12" s="124"/>
      <c r="C12" s="124"/>
      <c r="D12" s="127"/>
      <c r="E12" s="117"/>
      <c r="F12" s="119">
        <f>F11/D11</f>
        <v>0</v>
      </c>
      <c r="G12" s="130">
        <f>G11/D11</f>
        <v>0</v>
      </c>
      <c r="H12" s="130">
        <f>H11/D11</f>
        <v>0</v>
      </c>
      <c r="I12" s="170">
        <f>I11/D11</f>
        <v>0</v>
      </c>
      <c r="J12" s="131">
        <f>J11/D11</f>
        <v>0</v>
      </c>
      <c r="K12" s="131">
        <f>K11/D11</f>
        <v>0</v>
      </c>
      <c r="L12" s="131">
        <f>L11/D11</f>
        <v>0</v>
      </c>
      <c r="M12" s="131">
        <f>M11/D11</f>
        <v>0</v>
      </c>
      <c r="N12" s="131">
        <f>N11/D11</f>
        <v>0.03047682376084005</v>
      </c>
      <c r="O12" s="131">
        <f>O11/D11</f>
        <v>0</v>
      </c>
      <c r="P12" s="131">
        <f>P11/D11</f>
        <v>0</v>
      </c>
      <c r="Q12" s="131">
        <f>Q11/D11</f>
        <v>0</v>
      </c>
      <c r="R12" s="131">
        <f>R11/D11</f>
        <v>0</v>
      </c>
      <c r="S12" s="131">
        <f>S11/D11</f>
        <v>0</v>
      </c>
      <c r="T12" s="131">
        <f>T11/D11</f>
        <v>0</v>
      </c>
      <c r="U12" s="132">
        <f>U11/D11</f>
        <v>0.03047682376084005</v>
      </c>
    </row>
    <row r="13" spans="4:21" ht="10.5" customHeight="1">
      <c r="D13" s="255"/>
      <c r="E13" s="255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24"/>
    </row>
    <row r="14" spans="3:21" ht="10.5" customHeight="1">
      <c r="C14" s="124"/>
      <c r="D14" s="124"/>
      <c r="E14" s="116"/>
      <c r="F14" s="153"/>
      <c r="G14" s="171"/>
      <c r="H14" s="171"/>
      <c r="I14" s="172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</row>
    <row r="15" spans="1:21" ht="10.5" customHeight="1">
      <c r="A15" s="134" t="s">
        <v>317</v>
      </c>
      <c r="B15" s="140">
        <f>SUM(B4:B9)</f>
        <v>330016</v>
      </c>
      <c r="F15" s="119"/>
      <c r="G15" s="130"/>
      <c r="H15" s="130"/>
      <c r="I15" s="130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</row>
    <row r="16" spans="1:21" ht="10.5" customHeight="1">
      <c r="A16" s="124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41"/>
    </row>
    <row r="17" spans="1:21" ht="10.5" customHeight="1">
      <c r="A17" s="124"/>
      <c r="B17" s="124"/>
      <c r="C17" s="124"/>
      <c r="D17" s="124"/>
      <c r="E17" s="142"/>
      <c r="F17" s="143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</row>
    <row r="18" spans="2:21" ht="10.5" customHeight="1">
      <c r="B18" s="144" t="s">
        <v>318</v>
      </c>
      <c r="C18" s="145"/>
      <c r="D18" s="263">
        <f>D3+D5+D7+D9</f>
        <v>284226</v>
      </c>
      <c r="E18" s="264"/>
      <c r="F18" s="124"/>
      <c r="G18" s="138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</row>
    <row r="19" spans="6:21" ht="10.5" customHeight="1">
      <c r="F19" s="146"/>
      <c r="G19" s="147" t="s">
        <v>319</v>
      </c>
      <c r="H19" s="148"/>
      <c r="I19" s="148"/>
      <c r="J19" s="146"/>
      <c r="K19" s="146"/>
      <c r="L19" s="149"/>
      <c r="M19" s="149"/>
      <c r="N19" s="150"/>
      <c r="O19" s="149"/>
      <c r="P19" s="150"/>
      <c r="Q19" s="149"/>
      <c r="R19" s="149"/>
      <c r="S19" s="149"/>
      <c r="T19" s="149"/>
      <c r="U19" s="124"/>
    </row>
    <row r="20" spans="1:21" ht="6" customHeight="1">
      <c r="A20" s="124"/>
      <c r="B20" s="151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</row>
    <row r="21" spans="1:21" ht="10.5" customHeight="1">
      <c r="A21" s="134" t="s">
        <v>320</v>
      </c>
      <c r="B21" s="151"/>
      <c r="C21" s="124"/>
      <c r="D21" s="124"/>
      <c r="E21" s="124"/>
      <c r="F21" s="258" t="s">
        <v>321</v>
      </c>
      <c r="G21" s="258" t="s">
        <v>322</v>
      </c>
      <c r="H21" s="258" t="s">
        <v>323</v>
      </c>
      <c r="I21" s="258" t="s">
        <v>94</v>
      </c>
      <c r="J21" s="258" t="s">
        <v>95</v>
      </c>
      <c r="K21" s="258" t="s">
        <v>96</v>
      </c>
      <c r="L21" s="258" t="s">
        <v>324</v>
      </c>
      <c r="M21" s="258" t="s">
        <v>325</v>
      </c>
      <c r="N21" s="258" t="s">
        <v>326</v>
      </c>
      <c r="O21" s="258" t="s">
        <v>100</v>
      </c>
      <c r="P21" s="258" t="s">
        <v>327</v>
      </c>
      <c r="Q21" s="258" t="s">
        <v>313</v>
      </c>
      <c r="R21" s="258" t="s">
        <v>328</v>
      </c>
      <c r="S21" s="258" t="s">
        <v>329</v>
      </c>
      <c r="T21" s="258" t="s">
        <v>330</v>
      </c>
      <c r="U21" s="124"/>
    </row>
    <row r="22" spans="1:21" ht="14.25" customHeight="1">
      <c r="A22" s="152" t="s">
        <v>331</v>
      </c>
      <c r="B22" s="140">
        <f>B15-D18</f>
        <v>45790</v>
      </c>
      <c r="C22" s="124"/>
      <c r="D22" s="124"/>
      <c r="E22" s="124"/>
      <c r="F22" s="252"/>
      <c r="G22" s="260"/>
      <c r="H22" s="252"/>
      <c r="I22" s="262"/>
      <c r="J22" s="252"/>
      <c r="K22" s="252"/>
      <c r="L22" s="252"/>
      <c r="M22" s="252"/>
      <c r="N22" s="252"/>
      <c r="O22" s="252"/>
      <c r="P22" s="252"/>
      <c r="Q22" s="252"/>
      <c r="R22" s="252"/>
      <c r="S22" s="259"/>
      <c r="T22" s="260"/>
      <c r="U22" s="124"/>
    </row>
    <row r="23" spans="1:21" ht="10.5" customHeight="1">
      <c r="A23" s="151"/>
      <c r="B23" s="151"/>
      <c r="C23" s="124"/>
      <c r="D23" s="153"/>
      <c r="E23" s="124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24"/>
    </row>
    <row r="24" spans="1:21" ht="10.5" customHeight="1">
      <c r="A24" s="124"/>
      <c r="B24" s="124"/>
      <c r="C24" s="124"/>
      <c r="D24" s="124"/>
      <c r="E24" s="124"/>
      <c r="F24" s="3">
        <f aca="true" t="shared" si="0" ref="F24:U24">F3+F5+F7+F9+F11+F13</f>
        <v>0</v>
      </c>
      <c r="G24" s="124">
        <f t="shared" si="0"/>
        <v>1780</v>
      </c>
      <c r="H24" s="142">
        <f t="shared" si="0"/>
        <v>1050</v>
      </c>
      <c r="I24" s="142">
        <f>I3+I5+I7+I9+I11</f>
        <v>200</v>
      </c>
      <c r="J24" s="142">
        <f t="shared" si="0"/>
        <v>160</v>
      </c>
      <c r="K24" s="142">
        <f t="shared" si="0"/>
        <v>60</v>
      </c>
      <c r="L24" s="142">
        <f t="shared" si="0"/>
        <v>3200</v>
      </c>
      <c r="M24" s="142">
        <f t="shared" si="0"/>
        <v>4000</v>
      </c>
      <c r="N24" s="142">
        <f t="shared" si="0"/>
        <v>1800</v>
      </c>
      <c r="O24" s="142">
        <f t="shared" si="0"/>
        <v>3100</v>
      </c>
      <c r="P24" s="142">
        <f>P3+P5+P7+P9+P11+Q13</f>
        <v>110</v>
      </c>
      <c r="Q24" s="142">
        <f>Q3+Q5+Q7+Q9+Q11+R13</f>
        <v>1100</v>
      </c>
      <c r="R24" s="142">
        <f>R3+R5+R7+R9+R11+R13</f>
        <v>210</v>
      </c>
      <c r="S24" s="142">
        <f t="shared" si="0"/>
        <v>240</v>
      </c>
      <c r="T24" s="142">
        <f t="shared" si="0"/>
        <v>1150</v>
      </c>
      <c r="U24" s="154">
        <f t="shared" si="0"/>
        <v>18160</v>
      </c>
    </row>
    <row r="25" spans="1:21" ht="10.5" customHeight="1">
      <c r="A25" s="151"/>
      <c r="B25" s="151"/>
      <c r="C25" s="124"/>
      <c r="D25" s="124"/>
      <c r="E25" s="124"/>
      <c r="F25" s="155">
        <f>F24/D18</f>
        <v>0</v>
      </c>
      <c r="G25" s="122">
        <f>G24/D18</f>
        <v>0.006262621997987517</v>
      </c>
      <c r="H25" s="122">
        <f>H24/D18</f>
        <v>0.0036942433134196026</v>
      </c>
      <c r="I25" s="122">
        <f>I24/D18</f>
        <v>0.0007036653930323053</v>
      </c>
      <c r="J25" s="132">
        <f>J24/D18</f>
        <v>0.0005629323144258442</v>
      </c>
      <c r="K25" s="132">
        <f>K24/D18</f>
        <v>0.0002110996179096916</v>
      </c>
      <c r="L25" s="132">
        <f>L24/D18</f>
        <v>0.011258646288516885</v>
      </c>
      <c r="M25" s="132">
        <f>M24/D18</f>
        <v>0.014073307860646105</v>
      </c>
      <c r="N25" s="132">
        <f>N24/D18</f>
        <v>0.006332988537290748</v>
      </c>
      <c r="O25" s="132">
        <f>O24/D18</f>
        <v>0.010906813592000731</v>
      </c>
      <c r="P25" s="132">
        <f>P24/D18</f>
        <v>0.0003870159661677679</v>
      </c>
      <c r="Q25" s="132">
        <f>Q24/D18</f>
        <v>0.003870159661677679</v>
      </c>
      <c r="R25" s="132">
        <f>R24/D18</f>
        <v>0.0007388486626839205</v>
      </c>
      <c r="S25" s="132">
        <f>S24/D18</f>
        <v>0.0008443984716387663</v>
      </c>
      <c r="T25" s="132">
        <f>T24/D18</f>
        <v>0.004046076009935755</v>
      </c>
      <c r="U25" s="132">
        <f>U24/D18</f>
        <v>0.06389281768733332</v>
      </c>
    </row>
    <row r="26" spans="1:16" ht="10.5" customHeight="1">
      <c r="A26" s="151"/>
      <c r="B26" s="151"/>
      <c r="C26" s="124"/>
      <c r="D26" s="124"/>
      <c r="E26" s="142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</row>
    <row r="27" spans="1:21" ht="10.5" customHeight="1">
      <c r="A27" s="151"/>
      <c r="B27" s="151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56" t="s">
        <v>332</v>
      </c>
      <c r="R27" s="117"/>
      <c r="S27" s="117"/>
      <c r="T27" s="261">
        <f>U3+U5+U7+U9+U11+U13</f>
        <v>18160</v>
      </c>
      <c r="U27" s="261"/>
    </row>
    <row r="28" spans="1:21" ht="10.5" customHeight="1">
      <c r="A28" s="124"/>
      <c r="B28" s="124"/>
      <c r="C28" s="124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58"/>
      <c r="U28" s="158"/>
    </row>
    <row r="29" spans="1:21" ht="10.5" customHeight="1">
      <c r="A29" s="151"/>
      <c r="B29" s="151"/>
      <c r="C29" s="124"/>
      <c r="D29" s="117"/>
      <c r="E29" s="127"/>
      <c r="F29" s="127"/>
      <c r="G29" s="127"/>
      <c r="H29" s="127"/>
      <c r="I29" s="127"/>
      <c r="J29" s="127"/>
      <c r="K29" s="127"/>
      <c r="L29" s="127"/>
      <c r="M29" s="127"/>
      <c r="N29" s="117"/>
      <c r="O29" s="117"/>
      <c r="P29" s="138"/>
      <c r="Q29" s="4" t="s">
        <v>333</v>
      </c>
      <c r="R29" s="138"/>
      <c r="S29" s="138"/>
      <c r="T29" s="159"/>
      <c r="U29" s="157">
        <f>D3+D5+D7+D9+D11+D13</f>
        <v>320319</v>
      </c>
    </row>
    <row r="30" spans="1:21" ht="10.5" customHeight="1">
      <c r="A30" s="124"/>
      <c r="B30" s="124"/>
      <c r="C30" s="124"/>
      <c r="D30" s="117"/>
      <c r="E30" s="127"/>
      <c r="F30" s="127"/>
      <c r="G30" s="127"/>
      <c r="H30" s="127"/>
      <c r="I30" s="127"/>
      <c r="J30" s="124"/>
      <c r="K30" s="124"/>
      <c r="L30" s="124"/>
      <c r="M30" s="119"/>
      <c r="N30" s="116"/>
      <c r="O30" s="116"/>
      <c r="P30" s="116"/>
      <c r="Q30" s="117"/>
      <c r="R30" s="117"/>
      <c r="S30" s="117"/>
      <c r="T30" s="117"/>
      <c r="U30" s="117"/>
    </row>
    <row r="31" spans="1:21" ht="10.5" customHeight="1">
      <c r="A31" s="151"/>
      <c r="B31" s="151"/>
      <c r="C31" s="124"/>
      <c r="D31" s="117"/>
      <c r="E31" s="117"/>
      <c r="F31" s="138"/>
      <c r="G31" s="138"/>
      <c r="H31" s="138"/>
      <c r="I31" s="138"/>
      <c r="J31" s="138"/>
      <c r="K31" s="138"/>
      <c r="L31" s="138"/>
      <c r="M31" s="138"/>
      <c r="N31" s="117"/>
      <c r="O31" s="117"/>
      <c r="P31" s="117"/>
      <c r="Q31" s="156" t="s">
        <v>334</v>
      </c>
      <c r="R31" s="117"/>
      <c r="S31" s="117"/>
      <c r="T31" s="117"/>
      <c r="U31" s="160">
        <f>T27/U29</f>
        <v>0.05669348368345306</v>
      </c>
    </row>
    <row r="32" spans="1:21" ht="10.5" customHeight="1">
      <c r="A32" s="124"/>
      <c r="B32" s="124"/>
      <c r="C32" s="124"/>
      <c r="D32" s="117"/>
      <c r="E32" s="117"/>
      <c r="F32" s="161"/>
      <c r="G32" s="127"/>
      <c r="H32" s="127"/>
      <c r="I32" s="127"/>
      <c r="J32" s="127"/>
      <c r="K32" s="127"/>
      <c r="L32" s="127"/>
      <c r="M32" s="162"/>
      <c r="N32" s="127"/>
      <c r="O32" s="127"/>
      <c r="P32" s="117"/>
      <c r="Q32" s="117"/>
      <c r="R32" s="117"/>
      <c r="S32" s="117"/>
      <c r="T32" s="117"/>
      <c r="U32" s="117"/>
    </row>
    <row r="33" spans="1:21" ht="10.5" customHeight="1">
      <c r="A33" s="124"/>
      <c r="B33" s="124"/>
      <c r="C33" s="163"/>
      <c r="D33" s="117"/>
      <c r="E33" s="138"/>
      <c r="F33" s="127"/>
      <c r="G33" s="127"/>
      <c r="H33" s="127"/>
      <c r="I33" s="127"/>
      <c r="J33" s="127"/>
      <c r="K33" s="127"/>
      <c r="L33" s="127"/>
      <c r="M33" s="164"/>
      <c r="N33" s="127"/>
      <c r="O33" s="127"/>
      <c r="P33" s="117"/>
      <c r="Q33" s="117"/>
      <c r="R33" s="117"/>
      <c r="S33" s="117"/>
      <c r="T33" s="117"/>
      <c r="U33" s="117"/>
    </row>
    <row r="34" spans="1:21" ht="10.5" customHeight="1">
      <c r="A34" s="124"/>
      <c r="B34" s="124"/>
      <c r="C34" s="124"/>
      <c r="D34" s="165"/>
      <c r="E34" s="117"/>
      <c r="F34" s="127"/>
      <c r="G34" s="127"/>
      <c r="H34" s="166"/>
      <c r="I34" s="166"/>
      <c r="J34" s="127"/>
      <c r="K34" s="127"/>
      <c r="L34" s="127"/>
      <c r="M34" s="119"/>
      <c r="N34" s="127"/>
      <c r="O34" s="127"/>
      <c r="P34" s="117"/>
      <c r="Q34" s="117"/>
      <c r="R34" s="117"/>
      <c r="S34" s="117"/>
      <c r="T34" s="117"/>
      <c r="U34" s="117"/>
    </row>
    <row r="35" spans="1:21" ht="10.5" customHeight="1">
      <c r="A35" s="124"/>
      <c r="B35" s="124"/>
      <c r="C35" s="124"/>
      <c r="D35" s="117"/>
      <c r="E35" s="117"/>
      <c r="F35" s="127"/>
      <c r="G35" s="127"/>
      <c r="H35" s="127"/>
      <c r="I35" s="127"/>
      <c r="J35" s="127"/>
      <c r="K35" s="127"/>
      <c r="L35" s="127"/>
      <c r="M35" s="162"/>
      <c r="N35" s="127"/>
      <c r="O35" s="127"/>
      <c r="P35" s="117"/>
      <c r="Q35" s="117"/>
      <c r="R35" s="117"/>
      <c r="S35" s="117"/>
      <c r="T35" s="117"/>
      <c r="U35" s="117"/>
    </row>
    <row r="36" spans="1:21" ht="10.5" customHeight="1">
      <c r="A36" s="124"/>
      <c r="B36" s="124"/>
      <c r="C36" s="124"/>
      <c r="D36" s="117"/>
      <c r="E36" s="117"/>
      <c r="F36" s="127"/>
      <c r="G36" s="127"/>
      <c r="H36" s="127"/>
      <c r="I36" s="127"/>
      <c r="J36" s="127"/>
      <c r="K36" s="127"/>
      <c r="L36" s="162"/>
      <c r="M36" s="167"/>
      <c r="N36" s="127"/>
      <c r="O36" s="127"/>
      <c r="P36" s="117"/>
      <c r="Q36" s="117"/>
      <c r="R36" s="117"/>
      <c r="S36" s="117"/>
      <c r="T36" s="117"/>
      <c r="U36" s="117"/>
    </row>
    <row r="37" spans="3:21" ht="10.5" customHeight="1"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</row>
    <row r="38" spans="3:21" ht="10.5" customHeight="1"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</row>
    <row r="39" spans="3:21" ht="10.5" customHeight="1">
      <c r="C39" s="138"/>
      <c r="D39" s="138"/>
      <c r="E39" s="138"/>
      <c r="F39" s="138"/>
      <c r="G39" s="138"/>
      <c r="H39" s="168"/>
      <c r="I39" s="168"/>
      <c r="J39" s="168"/>
      <c r="K39" s="168"/>
      <c r="L39" s="168"/>
      <c r="M39" s="168"/>
      <c r="N39" s="138"/>
      <c r="O39" s="138"/>
      <c r="P39" s="138"/>
      <c r="Q39" s="138"/>
      <c r="R39" s="138"/>
      <c r="S39" s="138"/>
      <c r="T39" s="138"/>
      <c r="U39" s="138"/>
    </row>
    <row r="40" spans="8:13" ht="10.5" customHeight="1">
      <c r="H40" s="102"/>
      <c r="I40" s="102"/>
      <c r="J40" s="102"/>
      <c r="K40" s="102"/>
      <c r="L40" s="102"/>
      <c r="M40" s="102"/>
    </row>
    <row r="41" ht="10.5" customHeight="1"/>
    <row r="42" ht="10.5" customHeight="1"/>
    <row r="46" s="135" customFormat="1" ht="11.25"/>
  </sheetData>
  <mergeCells count="24">
    <mergeCell ref="D2:E2"/>
    <mergeCell ref="D3:E3"/>
    <mergeCell ref="D5:E5"/>
    <mergeCell ref="D7:E7"/>
    <mergeCell ref="D9:E9"/>
    <mergeCell ref="D11:E11"/>
    <mergeCell ref="D13:E13"/>
    <mergeCell ref="D18:E18"/>
    <mergeCell ref="M21:M22"/>
    <mergeCell ref="N21:N22"/>
    <mergeCell ref="F21:F22"/>
    <mergeCell ref="G21:G22"/>
    <mergeCell ref="H21:H22"/>
    <mergeCell ref="J21:J22"/>
    <mergeCell ref="S21:S22"/>
    <mergeCell ref="T21:T22"/>
    <mergeCell ref="T27:U27"/>
    <mergeCell ref="I21:I22"/>
    <mergeCell ref="O21:O22"/>
    <mergeCell ref="P21:P22"/>
    <mergeCell ref="Q21:Q22"/>
    <mergeCell ref="R21:R22"/>
    <mergeCell ref="K21:K22"/>
    <mergeCell ref="L21:L22"/>
  </mergeCells>
  <printOptions/>
  <pageMargins left="0.75" right="0.75" top="1" bottom="1" header="0.4921259845" footer="0.4921259845"/>
  <pageSetup horizontalDpi="300" verticalDpi="300" orientation="landscape" paperSize="9" r:id="rId2"/>
  <headerFooter alignWithMargins="0">
    <oddHeader>&amp;LKitenge Somwé&amp;C&amp;A&amp;R&amp;D</oddHeader>
    <oddFooter>&amp;CMouvement des Stocks  Piles et Accu Mai 98&amp;RPage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T40"/>
  <sheetViews>
    <sheetView workbookViewId="0" topLeftCell="A8">
      <selection activeCell="C24" sqref="C24"/>
    </sheetView>
  </sheetViews>
  <sheetFormatPr defaultColWidth="11.421875" defaultRowHeight="12.75"/>
  <cols>
    <col min="1" max="1" width="14.28125" style="101" customWidth="1"/>
    <col min="2" max="2" width="12.421875" style="101" customWidth="1"/>
    <col min="3" max="3" width="7.8515625" style="101" customWidth="1"/>
    <col min="4" max="4" width="3.8515625" style="101" customWidth="1"/>
    <col min="5" max="5" width="3.421875" style="101" customWidth="1"/>
    <col min="6" max="6" width="5.140625" style="101" customWidth="1"/>
    <col min="7" max="7" width="5.57421875" style="101" customWidth="1"/>
    <col min="8" max="8" width="6.00390625" style="101" customWidth="1"/>
    <col min="9" max="9" width="5.421875" style="101" customWidth="1"/>
    <col min="10" max="10" width="5.57421875" style="101" customWidth="1"/>
    <col min="11" max="11" width="5.7109375" style="101" customWidth="1"/>
    <col min="12" max="12" width="6.7109375" style="101" customWidth="1"/>
    <col min="13" max="13" width="5.57421875" style="101" customWidth="1"/>
    <col min="14" max="14" width="5.7109375" style="101" customWidth="1"/>
    <col min="15" max="15" width="5.57421875" style="101" customWidth="1"/>
    <col min="16" max="16" width="5.7109375" style="101" customWidth="1"/>
    <col min="17" max="17" width="5.421875" style="101" customWidth="1"/>
    <col min="18" max="18" width="5.140625" style="101" customWidth="1"/>
    <col min="19" max="19" width="5.28125" style="101" customWidth="1"/>
    <col min="20" max="20" width="10.00390625" style="101" customWidth="1"/>
    <col min="21" max="21" width="5.28125" style="101" customWidth="1"/>
    <col min="22" max="22" width="5.00390625" style="101" customWidth="1"/>
    <col min="23" max="23" width="6.421875" style="101" customWidth="1"/>
    <col min="24" max="16384" width="20.57421875" style="101" customWidth="1"/>
  </cols>
  <sheetData>
    <row r="1" spans="1:15" ht="39" customHeight="1">
      <c r="A1" s="95" t="s">
        <v>298</v>
      </c>
      <c r="B1" s="96" t="s">
        <v>299</v>
      </c>
      <c r="C1" s="97">
        <f ca="1">TODAY()</f>
        <v>35949</v>
      </c>
      <c r="D1" s="98"/>
      <c r="E1" s="98"/>
      <c r="F1" s="97"/>
      <c r="G1" s="99"/>
      <c r="H1" s="100" t="s">
        <v>300</v>
      </c>
      <c r="K1" s="102"/>
      <c r="L1" s="102"/>
      <c r="N1" s="99" t="s">
        <v>125</v>
      </c>
      <c r="O1" s="99"/>
    </row>
    <row r="2" spans="1:20" ht="44.25" customHeight="1">
      <c r="A2" s="103" t="s">
        <v>301</v>
      </c>
      <c r="B2" s="104" t="s">
        <v>302</v>
      </c>
      <c r="C2" s="105" t="s">
        <v>303</v>
      </c>
      <c r="D2" s="265" t="s">
        <v>304</v>
      </c>
      <c r="E2" s="265"/>
      <c r="F2" s="106" t="s">
        <v>305</v>
      </c>
      <c r="G2" s="106" t="s">
        <v>306</v>
      </c>
      <c r="H2" s="106" t="s">
        <v>307</v>
      </c>
      <c r="I2" s="106" t="s">
        <v>95</v>
      </c>
      <c r="J2" s="106" t="s">
        <v>96</v>
      </c>
      <c r="K2" s="107" t="s">
        <v>308</v>
      </c>
      <c r="L2" s="106" t="s">
        <v>309</v>
      </c>
      <c r="M2" s="106" t="s">
        <v>310</v>
      </c>
      <c r="N2" s="106" t="s">
        <v>311</v>
      </c>
      <c r="O2" s="106" t="s">
        <v>312</v>
      </c>
      <c r="P2" s="106" t="s">
        <v>313</v>
      </c>
      <c r="Q2" s="106" t="s">
        <v>314</v>
      </c>
      <c r="R2" s="108" t="s">
        <v>105</v>
      </c>
      <c r="S2" s="106" t="s">
        <v>315</v>
      </c>
      <c r="T2" s="109" t="s">
        <v>176</v>
      </c>
    </row>
    <row r="3" spans="1:20" ht="10.5" customHeight="1">
      <c r="A3" s="110" t="s">
        <v>316</v>
      </c>
      <c r="C3" s="111">
        <v>35765</v>
      </c>
      <c r="D3" s="266">
        <v>129208</v>
      </c>
      <c r="E3" s="266"/>
      <c r="F3" s="112">
        <v>0</v>
      </c>
      <c r="G3" s="112">
        <v>532</v>
      </c>
      <c r="H3" s="112">
        <v>0</v>
      </c>
      <c r="I3" s="112">
        <v>426</v>
      </c>
      <c r="J3" s="112">
        <v>20</v>
      </c>
      <c r="K3" s="113">
        <v>3721</v>
      </c>
      <c r="L3" s="112">
        <v>3586</v>
      </c>
      <c r="M3" s="112">
        <v>0</v>
      </c>
      <c r="N3" s="112">
        <v>532</v>
      </c>
      <c r="O3" s="112">
        <v>0</v>
      </c>
      <c r="P3" s="112">
        <v>701</v>
      </c>
      <c r="Q3" s="112">
        <v>320</v>
      </c>
      <c r="R3" s="112">
        <v>70</v>
      </c>
      <c r="S3" s="112">
        <v>440</v>
      </c>
      <c r="T3" s="114">
        <f>SUM(G3:S3)</f>
        <v>10348</v>
      </c>
    </row>
    <row r="4" spans="1:20" ht="10.5" customHeight="1">
      <c r="A4" s="115">
        <v>35735</v>
      </c>
      <c r="B4" s="116">
        <v>46160</v>
      </c>
      <c r="C4" s="117"/>
      <c r="F4" s="118">
        <f>F3/D3</f>
        <v>0</v>
      </c>
      <c r="G4" s="119">
        <f>G3/D3</f>
        <v>0.004117392111943533</v>
      </c>
      <c r="H4" s="117"/>
      <c r="I4" s="120">
        <f>I3/D3</f>
        <v>0.003297009473097641</v>
      </c>
      <c r="J4" s="120">
        <f>J3/D3</f>
        <v>0.00015478917714073433</v>
      </c>
      <c r="K4" s="120">
        <f>K3/D3</f>
        <v>0.02879852640703362</v>
      </c>
      <c r="L4" s="120">
        <f>L3/D3</f>
        <v>0.027753699461333662</v>
      </c>
      <c r="M4" s="117"/>
      <c r="N4" s="121">
        <f>N3/D3</f>
        <v>0.004117392111943533</v>
      </c>
      <c r="O4" s="117"/>
      <c r="P4" s="120">
        <f>P3/D3</f>
        <v>0.005425360658782738</v>
      </c>
      <c r="Q4" s="120">
        <f>Q3/D3</f>
        <v>0.0024766268342517493</v>
      </c>
      <c r="R4" s="120">
        <f>R3/D3</f>
        <v>0.0005417621199925701</v>
      </c>
      <c r="S4" s="120">
        <f>S3/D3</f>
        <v>0.003405361897096155</v>
      </c>
      <c r="T4" s="122">
        <f>T3/D3</f>
        <v>0.08008792025261594</v>
      </c>
    </row>
    <row r="5" spans="1:20" ht="10.5" customHeight="1">
      <c r="A5" s="123">
        <v>35765</v>
      </c>
      <c r="B5" s="124">
        <v>138711</v>
      </c>
      <c r="C5" s="125">
        <v>35796</v>
      </c>
      <c r="D5" s="266">
        <v>176877</v>
      </c>
      <c r="E5" s="267"/>
      <c r="F5" s="126">
        <v>0</v>
      </c>
      <c r="G5" s="126">
        <v>5119</v>
      </c>
      <c r="H5" s="112">
        <v>1050</v>
      </c>
      <c r="I5" s="112">
        <v>0</v>
      </c>
      <c r="J5" s="112">
        <v>0</v>
      </c>
      <c r="K5" s="113">
        <v>2938</v>
      </c>
      <c r="L5" s="112">
        <v>3086</v>
      </c>
      <c r="M5" s="112">
        <v>0</v>
      </c>
      <c r="N5" s="112">
        <v>2923</v>
      </c>
      <c r="O5" s="112">
        <v>0</v>
      </c>
      <c r="P5" s="112">
        <v>1515</v>
      </c>
      <c r="Q5" s="112">
        <v>440</v>
      </c>
      <c r="R5" s="112">
        <v>60</v>
      </c>
      <c r="S5" s="112">
        <v>700</v>
      </c>
      <c r="T5" s="114">
        <f>SUM(F5:S5)</f>
        <v>17831</v>
      </c>
    </row>
    <row r="6" spans="1:20" ht="10.5" customHeight="1">
      <c r="A6" s="123">
        <v>35796</v>
      </c>
      <c r="B6" s="124">
        <v>181820</v>
      </c>
      <c r="C6" s="124"/>
      <c r="D6" s="127"/>
      <c r="E6" s="117"/>
      <c r="F6" s="119">
        <f>F5/D5</f>
        <v>0</v>
      </c>
      <c r="G6" s="119">
        <f>G5/D5</f>
        <v>0.028941015507951855</v>
      </c>
      <c r="H6" s="120">
        <f>H5/D5</f>
        <v>0.005936328635153242</v>
      </c>
      <c r="I6" s="120">
        <f>I5/D5</f>
        <v>0</v>
      </c>
      <c r="J6" s="120">
        <f>J5/D5</f>
        <v>0</v>
      </c>
      <c r="K6" s="120">
        <f>K5/D5</f>
        <v>0.016610412885790692</v>
      </c>
      <c r="L6" s="120">
        <f>L5/D5</f>
        <v>0.01744715254103134</v>
      </c>
      <c r="M6" s="117"/>
      <c r="N6" s="121">
        <f>N5/D5</f>
        <v>0.016525608191002787</v>
      </c>
      <c r="O6" s="117"/>
      <c r="P6" s="120">
        <f>P5/D5</f>
        <v>0.008565274173578248</v>
      </c>
      <c r="Q6" s="120">
        <f>Q5/D5</f>
        <v>0.002487604380445168</v>
      </c>
      <c r="R6" s="120">
        <f>R5/D5</f>
        <v>0.00033921877915161385</v>
      </c>
      <c r="S6" s="120">
        <f>S5/D5</f>
        <v>0.003957552423435495</v>
      </c>
      <c r="T6" s="122">
        <f>T5/D5</f>
        <v>0.10081016751754043</v>
      </c>
    </row>
    <row r="7" spans="1:20" ht="10.5" customHeight="1">
      <c r="A7" s="123">
        <v>35827</v>
      </c>
      <c r="B7" s="124">
        <v>138586</v>
      </c>
      <c r="C7" s="128">
        <v>35827</v>
      </c>
      <c r="D7" s="268">
        <v>169275</v>
      </c>
      <c r="E7" s="268"/>
      <c r="F7" s="126">
        <v>0</v>
      </c>
      <c r="G7" s="126">
        <v>3136</v>
      </c>
      <c r="H7" s="129">
        <v>709</v>
      </c>
      <c r="I7" s="112">
        <v>146</v>
      </c>
      <c r="J7" s="112">
        <v>0</v>
      </c>
      <c r="K7" s="112">
        <v>3167</v>
      </c>
      <c r="L7" s="112">
        <v>3220</v>
      </c>
      <c r="M7" s="112">
        <v>30</v>
      </c>
      <c r="N7" s="112">
        <v>1094</v>
      </c>
      <c r="O7" s="112">
        <v>0</v>
      </c>
      <c r="P7" s="112">
        <v>2065</v>
      </c>
      <c r="Q7" s="112">
        <v>280</v>
      </c>
      <c r="R7" s="112">
        <v>50</v>
      </c>
      <c r="S7" s="112">
        <v>480</v>
      </c>
      <c r="T7" s="114">
        <f>SUM(F7:S7)</f>
        <v>14377</v>
      </c>
    </row>
    <row r="8" spans="1:20" ht="10.5" customHeight="1">
      <c r="A8" s="123">
        <v>35855</v>
      </c>
      <c r="B8" s="124">
        <v>204981</v>
      </c>
      <c r="C8" s="124"/>
      <c r="D8" s="127"/>
      <c r="E8" s="117"/>
      <c r="F8" s="119">
        <f>F7/D7</f>
        <v>0</v>
      </c>
      <c r="G8" s="130">
        <f>G7/D7</f>
        <v>0.018526067050657215</v>
      </c>
      <c r="H8" s="130">
        <f>H7/D7</f>
        <v>0.004188450745827795</v>
      </c>
      <c r="I8" s="131">
        <f>I7/D7</f>
        <v>0.0008625018461084035</v>
      </c>
      <c r="J8" s="131">
        <f>J7/D7</f>
        <v>0</v>
      </c>
      <c r="K8" s="131">
        <f>K7/D7</f>
        <v>0.01870920100428297</v>
      </c>
      <c r="L8" s="131">
        <f>L7/D7</f>
        <v>0.019022300989514105</v>
      </c>
      <c r="M8" s="131">
        <f>M7/D7</f>
        <v>0.00017722640673460346</v>
      </c>
      <c r="N8" s="131">
        <f>N7/D7</f>
        <v>0.006462856298921873</v>
      </c>
      <c r="O8" s="131">
        <f>O7/D7</f>
        <v>0</v>
      </c>
      <c r="P8" s="131">
        <f>P7/D7</f>
        <v>0.012199084330231872</v>
      </c>
      <c r="Q8" s="131">
        <f>Q7/D7</f>
        <v>0.0016541131295229655</v>
      </c>
      <c r="R8" s="131">
        <f>R7/D7</f>
        <v>0.0002953773445576724</v>
      </c>
      <c r="S8" s="131">
        <f>S7/D7</f>
        <v>0.0028356225077536554</v>
      </c>
      <c r="T8" s="132">
        <f>T7/D7</f>
        <v>0.08493280165411313</v>
      </c>
    </row>
    <row r="9" spans="1:20" s="135" customFormat="1" ht="10.5" customHeight="1">
      <c r="A9" s="123">
        <v>35886</v>
      </c>
      <c r="B9" s="124">
        <v>183866</v>
      </c>
      <c r="C9" s="128">
        <v>35855</v>
      </c>
      <c r="D9" s="268">
        <v>199823</v>
      </c>
      <c r="E9" s="268"/>
      <c r="F9" s="133">
        <v>0</v>
      </c>
      <c r="G9" s="133">
        <v>5084</v>
      </c>
      <c r="H9" s="133">
        <v>2459</v>
      </c>
      <c r="I9" s="133">
        <v>240</v>
      </c>
      <c r="J9" s="133">
        <v>0</v>
      </c>
      <c r="K9" s="133">
        <v>2416</v>
      </c>
      <c r="L9" s="133">
        <v>2485</v>
      </c>
      <c r="M9" s="133">
        <v>186</v>
      </c>
      <c r="N9" s="133">
        <v>2337</v>
      </c>
      <c r="O9" s="133">
        <v>480</v>
      </c>
      <c r="P9" s="133">
        <v>2490</v>
      </c>
      <c r="Q9" s="133">
        <v>350</v>
      </c>
      <c r="R9" s="133">
        <v>150</v>
      </c>
      <c r="S9" s="133">
        <v>520</v>
      </c>
      <c r="T9" s="134">
        <f>SUM(F9:S9)</f>
        <v>19197</v>
      </c>
    </row>
    <row r="10" spans="1:20" ht="10.5" customHeight="1">
      <c r="A10" s="136">
        <v>35916</v>
      </c>
      <c r="B10" s="137">
        <v>91110</v>
      </c>
      <c r="C10" s="124"/>
      <c r="D10" s="138"/>
      <c r="E10" s="138"/>
      <c r="F10" s="119">
        <f>F9/D9</f>
        <v>0</v>
      </c>
      <c r="G10" s="130">
        <f>G9/D9</f>
        <v>0.025442516627215084</v>
      </c>
      <c r="H10" s="130">
        <f>H9/D9</f>
        <v>0.012305890713281253</v>
      </c>
      <c r="I10" s="131">
        <f>I9/D9</f>
        <v>0.0012010629407025217</v>
      </c>
      <c r="J10" s="131">
        <f>J9/D9</f>
        <v>0</v>
      </c>
      <c r="K10" s="131">
        <f>K9/D9</f>
        <v>0.012090700269738719</v>
      </c>
      <c r="L10" s="131">
        <f>L9/D9</f>
        <v>0.012436005865190693</v>
      </c>
      <c r="M10" s="131">
        <f>M9/D9</f>
        <v>0.0009308237790444544</v>
      </c>
      <c r="N10" s="131">
        <f>N9/D9</f>
        <v>0.011695350385090805</v>
      </c>
      <c r="O10" s="131">
        <f>O9/D9</f>
        <v>0.0024021258814050433</v>
      </c>
      <c r="P10" s="131">
        <f>P9/D9</f>
        <v>0.012461028009788664</v>
      </c>
      <c r="Q10" s="131">
        <f>Q9/D9</f>
        <v>0.0017515501218578443</v>
      </c>
      <c r="R10" s="131">
        <f>R9/D9</f>
        <v>0.0007506643379390761</v>
      </c>
      <c r="S10" s="131">
        <f>S9/D9</f>
        <v>0.002602303038188797</v>
      </c>
      <c r="T10" s="132">
        <f>T9/D9</f>
        <v>0.09607002196944296</v>
      </c>
    </row>
    <row r="11" spans="1:20" ht="10.5" customHeight="1">
      <c r="A11" s="124"/>
      <c r="C11" s="128">
        <v>35886</v>
      </c>
      <c r="D11" s="268">
        <v>163629</v>
      </c>
      <c r="E11" s="268"/>
      <c r="F11" s="112">
        <v>0</v>
      </c>
      <c r="G11" s="112">
        <v>1762</v>
      </c>
      <c r="H11" s="112">
        <v>88</v>
      </c>
      <c r="I11" s="112">
        <v>396</v>
      </c>
      <c r="J11" s="112">
        <v>0</v>
      </c>
      <c r="K11" s="112">
        <v>3436</v>
      </c>
      <c r="L11" s="112">
        <v>2246</v>
      </c>
      <c r="M11" s="112">
        <v>20</v>
      </c>
      <c r="N11" s="112">
        <v>1391</v>
      </c>
      <c r="O11" s="112">
        <v>0</v>
      </c>
      <c r="P11" s="112">
        <v>1400</v>
      </c>
      <c r="Q11" s="112">
        <v>465</v>
      </c>
      <c r="R11" s="112">
        <v>80</v>
      </c>
      <c r="S11" s="112">
        <v>690</v>
      </c>
      <c r="T11" s="134">
        <f>SUM(F11:S11)</f>
        <v>11974</v>
      </c>
    </row>
    <row r="12" spans="1:20" ht="10.5" customHeight="1">
      <c r="A12" s="124"/>
      <c r="B12" s="124"/>
      <c r="C12" s="124"/>
      <c r="D12" s="127"/>
      <c r="E12" s="117"/>
      <c r="F12" s="119">
        <f>F11/D11</f>
        <v>0</v>
      </c>
      <c r="G12" s="130">
        <f>G11/D11</f>
        <v>0.010768262349583509</v>
      </c>
      <c r="H12" s="130">
        <f>H11/D11</f>
        <v>0.0005378019788668268</v>
      </c>
      <c r="I12" s="131">
        <f>I11/D11</f>
        <v>0.0024201089049007206</v>
      </c>
      <c r="J12" s="131">
        <f>J11/D11</f>
        <v>0</v>
      </c>
      <c r="K12" s="131">
        <f>K11/D11</f>
        <v>0.020998722720300192</v>
      </c>
      <c r="L12" s="131">
        <f>L11/D11</f>
        <v>0.013726173233351057</v>
      </c>
      <c r="M12" s="131">
        <f>M11/D11</f>
        <v>0.00012222772246973335</v>
      </c>
      <c r="N12" s="131">
        <f>N11/D11</f>
        <v>0.008500938097769955</v>
      </c>
      <c r="O12" s="131">
        <f>O11/D11</f>
        <v>0</v>
      </c>
      <c r="P12" s="131">
        <f>P11/D11</f>
        <v>0.008555940572881336</v>
      </c>
      <c r="Q12" s="131">
        <f>Q11/D11</f>
        <v>0.0028417945474213005</v>
      </c>
      <c r="R12" s="131">
        <f>R11/D11</f>
        <v>0.0004889108898789334</v>
      </c>
      <c r="S12" s="131">
        <f>S11/D11</f>
        <v>0.004216856425205801</v>
      </c>
      <c r="T12" s="132">
        <f>T11/D11</f>
        <v>0.07317773744262936</v>
      </c>
    </row>
    <row r="13" spans="3:20" ht="10.5" customHeight="1">
      <c r="C13" s="128">
        <v>35916</v>
      </c>
      <c r="D13" s="268">
        <v>128036</v>
      </c>
      <c r="E13" s="268"/>
      <c r="F13" s="139">
        <v>0</v>
      </c>
      <c r="G13" s="139">
        <v>1173</v>
      </c>
      <c r="H13" s="139">
        <v>60</v>
      </c>
      <c r="I13" s="139">
        <v>40</v>
      </c>
      <c r="J13" s="139">
        <v>80</v>
      </c>
      <c r="K13" s="139">
        <v>2889</v>
      </c>
      <c r="L13" s="139">
        <v>2918</v>
      </c>
      <c r="M13" s="139">
        <v>0</v>
      </c>
      <c r="N13" s="139">
        <v>1156</v>
      </c>
      <c r="O13" s="112">
        <v>100</v>
      </c>
      <c r="P13" s="139">
        <v>1400</v>
      </c>
      <c r="Q13" s="139">
        <v>280</v>
      </c>
      <c r="R13" s="139">
        <v>60</v>
      </c>
      <c r="S13" s="139">
        <v>260</v>
      </c>
      <c r="T13" s="134">
        <f>SUM(F13:S13)</f>
        <v>10416</v>
      </c>
    </row>
    <row r="14" spans="3:20" ht="10.5" customHeight="1">
      <c r="C14" s="124"/>
      <c r="D14" s="127"/>
      <c r="E14" s="117"/>
      <c r="F14" s="119">
        <f>F13/D13</f>
        <v>0</v>
      </c>
      <c r="G14" s="130">
        <f>G13/D13</f>
        <v>0.009161485832109718</v>
      </c>
      <c r="H14" s="130">
        <f>H13/D13</f>
        <v>0.0004686182011309319</v>
      </c>
      <c r="I14" s="131">
        <f>I13/D13</f>
        <v>0.00031241213408728796</v>
      </c>
      <c r="J14" s="131">
        <f>J13/D13</f>
        <v>0.0006248242681745759</v>
      </c>
      <c r="K14" s="131">
        <f>K13/D13</f>
        <v>0.022563966384454372</v>
      </c>
      <c r="L14" s="131">
        <f>L13/D13</f>
        <v>0.022790465181667656</v>
      </c>
      <c r="M14" s="131">
        <f>M13/D13</f>
        <v>0</v>
      </c>
      <c r="N14" s="131">
        <f>N13/D13</f>
        <v>0.009028710675122622</v>
      </c>
      <c r="O14" s="131">
        <f>O13/D13</f>
        <v>0.0007810303352182199</v>
      </c>
      <c r="P14" s="131">
        <f>P13/D13</f>
        <v>0.010934424693055078</v>
      </c>
      <c r="Q14" s="131">
        <f>Q13/D13</f>
        <v>0.002186884938611016</v>
      </c>
      <c r="R14" s="131">
        <f>R13/D13</f>
        <v>0.0004686182011309319</v>
      </c>
      <c r="S14" s="131">
        <f>S13/D13</f>
        <v>0.002030678871567372</v>
      </c>
      <c r="T14" s="132">
        <f>T13/D13</f>
        <v>0.08135211971632979</v>
      </c>
    </row>
    <row r="15" spans="1:20" ht="10.5" customHeight="1">
      <c r="A15" s="134" t="s">
        <v>317</v>
      </c>
      <c r="B15" s="140">
        <f>SUM(B4:B10)</f>
        <v>985234</v>
      </c>
      <c r="F15" s="119"/>
      <c r="G15" s="130"/>
      <c r="H15" s="130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</row>
    <row r="16" spans="1:20" ht="10.5" customHeight="1">
      <c r="A16" s="124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41"/>
    </row>
    <row r="17" spans="1:20" ht="10.5" customHeight="1">
      <c r="A17" s="124"/>
      <c r="B17" s="124"/>
      <c r="C17" s="124"/>
      <c r="D17" s="124"/>
      <c r="E17" s="142"/>
      <c r="F17" s="143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</row>
    <row r="18" spans="2:20" ht="10.5" customHeight="1">
      <c r="B18" s="144" t="s">
        <v>318</v>
      </c>
      <c r="C18" s="145"/>
      <c r="D18" s="263">
        <f>SUM(D3:E14)</f>
        <v>966848</v>
      </c>
      <c r="E18" s="264"/>
      <c r="F18" s="124"/>
      <c r="G18" s="138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</row>
    <row r="19" spans="6:20" ht="10.5" customHeight="1">
      <c r="F19" s="146"/>
      <c r="G19" s="147" t="s">
        <v>319</v>
      </c>
      <c r="H19" s="148"/>
      <c r="I19" s="146"/>
      <c r="J19" s="146"/>
      <c r="K19" s="149"/>
      <c r="L19" s="149"/>
      <c r="M19" s="150"/>
      <c r="N19" s="149"/>
      <c r="O19" s="150"/>
      <c r="P19" s="149"/>
      <c r="Q19" s="149"/>
      <c r="R19" s="149"/>
      <c r="S19" s="149"/>
      <c r="T19" s="124"/>
    </row>
    <row r="20" spans="1:20" ht="6" customHeight="1">
      <c r="A20" s="124"/>
      <c r="B20" s="151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</row>
    <row r="21" spans="1:20" ht="10.5" customHeight="1">
      <c r="A21" s="134" t="s">
        <v>320</v>
      </c>
      <c r="B21" s="151"/>
      <c r="C21" s="124"/>
      <c r="D21" s="124"/>
      <c r="E21" s="124"/>
      <c r="F21" s="258" t="s">
        <v>321</v>
      </c>
      <c r="G21" s="258" t="s">
        <v>322</v>
      </c>
      <c r="H21" s="258" t="s">
        <v>323</v>
      </c>
      <c r="I21" s="258" t="s">
        <v>95</v>
      </c>
      <c r="J21" s="258" t="s">
        <v>96</v>
      </c>
      <c r="K21" s="258" t="s">
        <v>324</v>
      </c>
      <c r="L21" s="258" t="s">
        <v>325</v>
      </c>
      <c r="M21" s="258" t="s">
        <v>326</v>
      </c>
      <c r="N21" s="258" t="s">
        <v>100</v>
      </c>
      <c r="O21" s="258" t="s">
        <v>327</v>
      </c>
      <c r="P21" s="258" t="s">
        <v>313</v>
      </c>
      <c r="Q21" s="258" t="s">
        <v>328</v>
      </c>
      <c r="R21" s="258" t="s">
        <v>329</v>
      </c>
      <c r="S21" s="258" t="s">
        <v>330</v>
      </c>
      <c r="T21" s="124"/>
    </row>
    <row r="22" spans="1:20" ht="14.25" customHeight="1">
      <c r="A22" s="152" t="s">
        <v>331</v>
      </c>
      <c r="B22" s="140">
        <f>B15-D18</f>
        <v>18386</v>
      </c>
      <c r="C22" s="124"/>
      <c r="D22" s="124"/>
      <c r="E22" s="124"/>
      <c r="F22" s="252"/>
      <c r="G22" s="260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9"/>
      <c r="S22" s="260"/>
      <c r="T22" s="124"/>
    </row>
    <row r="23" spans="1:20" ht="10.5" customHeight="1">
      <c r="A23" s="151"/>
      <c r="B23" s="151">
        <f>12614-1614</f>
        <v>11000</v>
      </c>
      <c r="C23" s="124" t="s">
        <v>361</v>
      </c>
      <c r="D23" s="153"/>
      <c r="E23" s="124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24"/>
    </row>
    <row r="24" spans="1:20" ht="10.5" customHeight="1">
      <c r="A24" s="124"/>
      <c r="B24" s="124">
        <f>B22-B23</f>
        <v>7386</v>
      </c>
      <c r="C24" s="124"/>
      <c r="D24" s="124"/>
      <c r="E24" s="124"/>
      <c r="F24" s="3">
        <f aca="true" t="shared" si="0" ref="F24:T24">F3+F5+F7+F9+F11+F13</f>
        <v>0</v>
      </c>
      <c r="G24" s="124">
        <f t="shared" si="0"/>
        <v>16806</v>
      </c>
      <c r="H24" s="142">
        <f t="shared" si="0"/>
        <v>4366</v>
      </c>
      <c r="I24" s="142">
        <f t="shared" si="0"/>
        <v>1248</v>
      </c>
      <c r="J24" s="142">
        <f t="shared" si="0"/>
        <v>100</v>
      </c>
      <c r="K24" s="142">
        <f t="shared" si="0"/>
        <v>18567</v>
      </c>
      <c r="L24" s="142">
        <f t="shared" si="0"/>
        <v>17541</v>
      </c>
      <c r="M24" s="142">
        <f t="shared" si="0"/>
        <v>236</v>
      </c>
      <c r="N24" s="142">
        <f t="shared" si="0"/>
        <v>9433</v>
      </c>
      <c r="O24" s="142">
        <f>O3+O5+O7+O9+O11+P13</f>
        <v>1880</v>
      </c>
      <c r="P24" s="142">
        <f>P3+P5+P7+P9+P11+Q13</f>
        <v>8451</v>
      </c>
      <c r="Q24" s="142">
        <f>Q3+Q5+Q7+Q9+Q11+Q13</f>
        <v>2135</v>
      </c>
      <c r="R24" s="142">
        <f t="shared" si="0"/>
        <v>470</v>
      </c>
      <c r="S24" s="142">
        <f t="shared" si="0"/>
        <v>3090</v>
      </c>
      <c r="T24" s="154">
        <f t="shared" si="0"/>
        <v>84143</v>
      </c>
    </row>
    <row r="25" spans="1:20" ht="10.5" customHeight="1">
      <c r="A25" s="151"/>
      <c r="B25" s="151"/>
      <c r="C25" s="124"/>
      <c r="D25" s="124"/>
      <c r="E25" s="124"/>
      <c r="F25" s="155">
        <f>F24/D18</f>
        <v>0</v>
      </c>
      <c r="G25" s="122">
        <f>G24/D18</f>
        <v>0.01738225656980208</v>
      </c>
      <c r="H25" s="122">
        <f>H24/D18</f>
        <v>0.004515704640233004</v>
      </c>
      <c r="I25" s="132">
        <f>I24/D18</f>
        <v>0.0012907923479181837</v>
      </c>
      <c r="J25" s="132">
        <f>J24/D18</f>
        <v>0.00010342887403190574</v>
      </c>
      <c r="K25" s="132">
        <f>K24/D18</f>
        <v>0.019203639041503937</v>
      </c>
      <c r="L25" s="132">
        <f>L24/D18</f>
        <v>0.018142458793936587</v>
      </c>
      <c r="M25" s="132">
        <f>M24/D18</f>
        <v>0.00024409214271529754</v>
      </c>
      <c r="N25" s="132">
        <f>N24/D18</f>
        <v>0.009756445687429668</v>
      </c>
      <c r="O25" s="132">
        <f>O24/D18</f>
        <v>0.001944462831799828</v>
      </c>
      <c r="P25" s="132">
        <f>P24/D18</f>
        <v>0.008740774144436353</v>
      </c>
      <c r="Q25" s="132">
        <f>Q24/D18</f>
        <v>0.0022082064605811877</v>
      </c>
      <c r="R25" s="132">
        <f>R24/D18</f>
        <v>0.000486115707949957</v>
      </c>
      <c r="S25" s="132">
        <f>S24/D18</f>
        <v>0.0031959522075858874</v>
      </c>
      <c r="T25" s="132">
        <f>T24/D18</f>
        <v>0.08702815747666645</v>
      </c>
    </row>
    <row r="26" spans="1:15" ht="10.5" customHeight="1">
      <c r="A26" s="151"/>
      <c r="B26" s="151"/>
      <c r="C26" s="124"/>
      <c r="D26" s="124"/>
      <c r="E26" s="142"/>
      <c r="F26" s="124"/>
      <c r="G26" s="124"/>
      <c r="H26" s="124"/>
      <c r="I26" s="124"/>
      <c r="J26" s="124"/>
      <c r="K26" s="124"/>
      <c r="L26" s="124"/>
      <c r="M26" s="124"/>
      <c r="N26" s="124"/>
      <c r="O26" s="124"/>
    </row>
    <row r="27" spans="1:20" ht="10.5" customHeight="1">
      <c r="A27" s="151"/>
      <c r="B27" s="151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56" t="s">
        <v>332</v>
      </c>
      <c r="Q27" s="117"/>
      <c r="R27" s="117"/>
      <c r="S27" s="261">
        <f>T3+T5+T7+T9+T11+T13</f>
        <v>84143</v>
      </c>
      <c r="T27" s="261"/>
    </row>
    <row r="28" spans="1:20" ht="10.5" customHeight="1">
      <c r="A28" s="124"/>
      <c r="B28" s="124"/>
      <c r="C28" s="124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58"/>
      <c r="T28" s="158"/>
    </row>
    <row r="29" spans="1:20" ht="10.5" customHeight="1">
      <c r="A29" s="151"/>
      <c r="B29" s="151"/>
      <c r="C29" s="124"/>
      <c r="D29" s="117"/>
      <c r="E29" s="127"/>
      <c r="F29" s="127"/>
      <c r="G29" s="127"/>
      <c r="H29" s="127"/>
      <c r="I29" s="127"/>
      <c r="J29" s="127"/>
      <c r="K29" s="127"/>
      <c r="L29" s="127"/>
      <c r="M29" s="117"/>
      <c r="N29" s="117"/>
      <c r="O29" s="138"/>
      <c r="P29" s="4" t="s">
        <v>333</v>
      </c>
      <c r="Q29" s="138"/>
      <c r="R29" s="138"/>
      <c r="S29" s="159"/>
      <c r="T29" s="157">
        <f>D3+D5+D7+D9+D11+D13</f>
        <v>966848</v>
      </c>
    </row>
    <row r="30" spans="1:20" ht="10.5" customHeight="1">
      <c r="A30" s="124"/>
      <c r="B30" s="124"/>
      <c r="C30" s="124"/>
      <c r="D30" s="117"/>
      <c r="E30" s="127"/>
      <c r="F30" s="127"/>
      <c r="G30" s="127"/>
      <c r="H30" s="127"/>
      <c r="I30" s="124"/>
      <c r="J30" s="124"/>
      <c r="K30" s="124"/>
      <c r="L30" s="119"/>
      <c r="M30" s="116"/>
      <c r="N30" s="116"/>
      <c r="O30" s="116"/>
      <c r="P30" s="117"/>
      <c r="Q30" s="117"/>
      <c r="R30" s="117"/>
      <c r="S30" s="117"/>
      <c r="T30" s="117"/>
    </row>
    <row r="31" spans="1:20" ht="10.5" customHeight="1">
      <c r="A31" s="151"/>
      <c r="B31" s="151"/>
      <c r="C31" s="124"/>
      <c r="D31" s="117"/>
      <c r="E31" s="117"/>
      <c r="F31" s="138"/>
      <c r="G31" s="138"/>
      <c r="H31" s="138"/>
      <c r="I31" s="138"/>
      <c r="J31" s="138"/>
      <c r="K31" s="138"/>
      <c r="L31" s="138"/>
      <c r="M31" s="117"/>
      <c r="N31" s="117"/>
      <c r="O31" s="117"/>
      <c r="P31" s="156" t="s">
        <v>334</v>
      </c>
      <c r="Q31" s="117"/>
      <c r="R31" s="117"/>
      <c r="S31" s="117"/>
      <c r="T31" s="160">
        <f>S27/T29</f>
        <v>0.08702815747666645</v>
      </c>
    </row>
    <row r="32" spans="1:20" ht="10.5" customHeight="1">
      <c r="A32" s="124"/>
      <c r="B32" s="124"/>
      <c r="C32" s="124"/>
      <c r="D32" s="117"/>
      <c r="E32" s="117"/>
      <c r="F32" s="161"/>
      <c r="G32" s="127"/>
      <c r="H32" s="127"/>
      <c r="I32" s="127"/>
      <c r="J32" s="127"/>
      <c r="K32" s="127"/>
      <c r="L32" s="162"/>
      <c r="M32" s="127"/>
      <c r="N32" s="127"/>
      <c r="O32" s="117"/>
      <c r="P32" s="117"/>
      <c r="Q32" s="117"/>
      <c r="R32" s="117"/>
      <c r="S32" s="117"/>
      <c r="T32" s="117"/>
    </row>
    <row r="33" spans="1:20" ht="10.5" customHeight="1">
      <c r="A33" s="124"/>
      <c r="B33" s="124"/>
      <c r="C33" s="163"/>
      <c r="D33" s="117"/>
      <c r="E33" s="138"/>
      <c r="F33" s="127"/>
      <c r="G33" s="127"/>
      <c r="H33" s="127"/>
      <c r="I33" s="127"/>
      <c r="J33" s="127"/>
      <c r="K33" s="127"/>
      <c r="L33" s="164"/>
      <c r="M33" s="127"/>
      <c r="N33" s="127"/>
      <c r="O33" s="117"/>
      <c r="P33" s="117"/>
      <c r="Q33" s="117"/>
      <c r="R33" s="117"/>
      <c r="S33" s="117"/>
      <c r="T33" s="117"/>
    </row>
    <row r="34" spans="1:20" ht="10.5" customHeight="1">
      <c r="A34" s="124"/>
      <c r="B34" s="124"/>
      <c r="C34" s="124"/>
      <c r="D34" s="165"/>
      <c r="E34" s="117"/>
      <c r="F34" s="127"/>
      <c r="G34" s="127"/>
      <c r="H34" s="166"/>
      <c r="I34" s="127"/>
      <c r="J34" s="127"/>
      <c r="K34" s="127"/>
      <c r="L34" s="119"/>
      <c r="M34" s="127"/>
      <c r="N34" s="127"/>
      <c r="O34" s="117"/>
      <c r="P34" s="117"/>
      <c r="Q34" s="117"/>
      <c r="R34" s="117"/>
      <c r="S34" s="117"/>
      <c r="T34" s="117"/>
    </row>
    <row r="35" spans="1:20" ht="10.5" customHeight="1">
      <c r="A35" s="124"/>
      <c r="B35" s="124"/>
      <c r="C35" s="124"/>
      <c r="D35" s="117"/>
      <c r="E35" s="117"/>
      <c r="F35" s="127"/>
      <c r="G35" s="127"/>
      <c r="H35" s="127"/>
      <c r="I35" s="127"/>
      <c r="J35" s="127"/>
      <c r="K35" s="127"/>
      <c r="L35" s="162"/>
      <c r="M35" s="127"/>
      <c r="N35" s="127"/>
      <c r="O35" s="117"/>
      <c r="P35" s="117"/>
      <c r="Q35" s="117"/>
      <c r="R35" s="117"/>
      <c r="S35" s="117"/>
      <c r="T35" s="117"/>
    </row>
    <row r="36" spans="1:20" ht="10.5" customHeight="1">
      <c r="A36" s="124"/>
      <c r="B36" s="124"/>
      <c r="C36" s="124"/>
      <c r="D36" s="117"/>
      <c r="E36" s="117"/>
      <c r="F36" s="127"/>
      <c r="G36" s="127"/>
      <c r="H36" s="127"/>
      <c r="I36" s="127"/>
      <c r="J36" s="127"/>
      <c r="K36" s="162"/>
      <c r="L36" s="167"/>
      <c r="M36" s="127"/>
      <c r="N36" s="127"/>
      <c r="O36" s="117"/>
      <c r="P36" s="117"/>
      <c r="Q36" s="117"/>
      <c r="R36" s="117"/>
      <c r="S36" s="117"/>
      <c r="T36" s="117"/>
    </row>
    <row r="37" spans="3:20" ht="10.5" customHeight="1"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</row>
    <row r="38" spans="3:20" ht="10.5" customHeight="1"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</row>
    <row r="39" spans="3:20" ht="10.5" customHeight="1">
      <c r="C39" s="138"/>
      <c r="D39" s="138"/>
      <c r="E39" s="138"/>
      <c r="F39" s="138"/>
      <c r="G39" s="138"/>
      <c r="H39" s="168"/>
      <c r="I39" s="168"/>
      <c r="J39" s="168"/>
      <c r="K39" s="168"/>
      <c r="L39" s="168"/>
      <c r="M39" s="138"/>
      <c r="N39" s="138"/>
      <c r="O39" s="138"/>
      <c r="P39" s="138"/>
      <c r="Q39" s="138"/>
      <c r="R39" s="138"/>
      <c r="S39" s="138"/>
      <c r="T39" s="138"/>
    </row>
    <row r="40" spans="8:12" ht="10.5" customHeight="1">
      <c r="H40" s="102"/>
      <c r="I40" s="102"/>
      <c r="J40" s="102"/>
      <c r="K40" s="102"/>
      <c r="L40" s="102"/>
    </row>
    <row r="41" ht="10.5" customHeight="1"/>
    <row r="42" ht="10.5" customHeight="1"/>
    <row r="46" s="135" customFormat="1" ht="11.25"/>
  </sheetData>
  <mergeCells count="23">
    <mergeCell ref="D2:E2"/>
    <mergeCell ref="D3:E3"/>
    <mergeCell ref="D5:E5"/>
    <mergeCell ref="D7:E7"/>
    <mergeCell ref="D9:E9"/>
    <mergeCell ref="D11:E11"/>
    <mergeCell ref="D13:E13"/>
    <mergeCell ref="D18:E18"/>
    <mergeCell ref="F21:F22"/>
    <mergeCell ref="G21:G22"/>
    <mergeCell ref="H21:H22"/>
    <mergeCell ref="I21:I22"/>
    <mergeCell ref="J21:J22"/>
    <mergeCell ref="K21:K22"/>
    <mergeCell ref="L21:L22"/>
    <mergeCell ref="M21:M22"/>
    <mergeCell ref="R21:R22"/>
    <mergeCell ref="S21:S22"/>
    <mergeCell ref="S27:T27"/>
    <mergeCell ref="N21:N22"/>
    <mergeCell ref="O21:O22"/>
    <mergeCell ref="P21:P22"/>
    <mergeCell ref="Q21:Q22"/>
  </mergeCells>
  <printOptions/>
  <pageMargins left="0.75" right="0.75" top="1" bottom="1" header="0.4921259845" footer="0.4921259845"/>
  <pageSetup horizontalDpi="300" verticalDpi="300" orientation="landscape" paperSize="9" r:id="rId2"/>
  <headerFooter alignWithMargins="0">
    <oddHeader>&amp;LKitenge Somwé&amp;C&amp;A&amp;R&amp;D</oddHeader>
    <oddFooter>&amp;C&amp;A&amp;RPage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A1:I28"/>
  <sheetViews>
    <sheetView tabSelected="1" workbookViewId="0" topLeftCell="A1">
      <selection activeCell="A10" sqref="A10"/>
    </sheetView>
  </sheetViews>
  <sheetFormatPr defaultColWidth="11.421875" defaultRowHeight="12.75"/>
  <cols>
    <col min="1" max="1" width="16.140625" style="305" customWidth="1"/>
    <col min="2" max="2" width="13.7109375" style="305" customWidth="1"/>
    <col min="3" max="3" width="13.8515625" style="305" customWidth="1"/>
    <col min="4" max="4" width="14.7109375" style="305" customWidth="1"/>
    <col min="5" max="5" width="13.28125" style="305" customWidth="1"/>
    <col min="6" max="6" width="13.140625" style="305" customWidth="1"/>
    <col min="7" max="7" width="17.421875" style="305" customWidth="1"/>
    <col min="8" max="8" width="14.00390625" style="305" customWidth="1"/>
    <col min="9" max="9" width="11.140625" style="305" customWidth="1"/>
    <col min="10" max="12" width="13.57421875" style="305" customWidth="1"/>
    <col min="13" max="16384" width="11.421875" style="305" customWidth="1"/>
  </cols>
  <sheetData>
    <row r="1" spans="1:5" ht="39" customHeight="1">
      <c r="A1" s="335" t="s">
        <v>242</v>
      </c>
      <c r="C1" s="329"/>
      <c r="E1" s="330" t="s">
        <v>217</v>
      </c>
    </row>
    <row r="3" spans="1:9" ht="12.75">
      <c r="A3" s="306" t="s">
        <v>177</v>
      </c>
      <c r="B3" s="306" t="s">
        <v>386</v>
      </c>
      <c r="C3" s="306" t="s">
        <v>218</v>
      </c>
      <c r="D3" s="306" t="s">
        <v>178</v>
      </c>
      <c r="E3" s="308" t="s">
        <v>240</v>
      </c>
      <c r="F3" s="306" t="s">
        <v>387</v>
      </c>
      <c r="G3" s="309" t="s">
        <v>228</v>
      </c>
      <c r="H3" s="310" t="s">
        <v>222</v>
      </c>
      <c r="I3" s="310"/>
    </row>
    <row r="4" spans="1:9" ht="12.75">
      <c r="A4" s="311" t="s">
        <v>233</v>
      </c>
      <c r="B4" s="311" t="s">
        <v>385</v>
      </c>
      <c r="C4" s="311" t="s">
        <v>219</v>
      </c>
      <c r="D4" s="311" t="s">
        <v>238</v>
      </c>
      <c r="E4" s="312" t="s">
        <v>241</v>
      </c>
      <c r="F4" s="311" t="s">
        <v>221</v>
      </c>
      <c r="G4" s="313" t="s">
        <v>229</v>
      </c>
      <c r="H4" s="310" t="s">
        <v>223</v>
      </c>
      <c r="I4" s="310"/>
    </row>
    <row r="5" spans="1:9" ht="7.5" customHeight="1">
      <c r="A5" s="314"/>
      <c r="B5" s="314"/>
      <c r="C5" s="314"/>
      <c r="D5" s="314"/>
      <c r="F5" s="314"/>
      <c r="G5" s="315"/>
      <c r="H5" s="310"/>
      <c r="I5" s="310"/>
    </row>
    <row r="6" spans="1:8" ht="12.75">
      <c r="A6" s="316">
        <v>787687</v>
      </c>
      <c r="B6" s="317">
        <v>14161</v>
      </c>
      <c r="C6" s="317">
        <v>61390</v>
      </c>
      <c r="D6" s="317">
        <v>114664</v>
      </c>
      <c r="E6" s="310" t="s">
        <v>384</v>
      </c>
      <c r="F6" s="317">
        <f>250+2625+603+1161</f>
        <v>4639</v>
      </c>
      <c r="G6" s="318">
        <f>B6+C6+D6+F6</f>
        <v>194854</v>
      </c>
      <c r="H6" s="305">
        <f>SUM(A6:G6)</f>
        <v>1177395</v>
      </c>
    </row>
    <row r="7" spans="6:7" ht="12.75">
      <c r="F7" s="319"/>
      <c r="G7" s="320"/>
    </row>
    <row r="8" ht="9" customHeight="1"/>
    <row r="9" ht="12.75">
      <c r="I9" s="310"/>
    </row>
    <row r="10" spans="2:9" ht="12.75">
      <c r="B10" s="306" t="s">
        <v>224</v>
      </c>
      <c r="C10" s="321" t="s">
        <v>225</v>
      </c>
      <c r="D10" s="307" t="s">
        <v>225</v>
      </c>
      <c r="E10" s="333" t="s">
        <v>226</v>
      </c>
      <c r="F10" s="306" t="s">
        <v>226</v>
      </c>
      <c r="G10" s="306" t="s">
        <v>389</v>
      </c>
      <c r="H10" s="309" t="s">
        <v>228</v>
      </c>
      <c r="I10" s="310"/>
    </row>
    <row r="11" spans="1:8" ht="14.25" customHeight="1">
      <c r="A11" s="319"/>
      <c r="B11" s="311" t="s">
        <v>391</v>
      </c>
      <c r="C11" s="331" t="s">
        <v>199</v>
      </c>
      <c r="D11" s="332" t="s">
        <v>388</v>
      </c>
      <c r="E11" s="322" t="s">
        <v>227</v>
      </c>
      <c r="F11" s="311" t="s">
        <v>231</v>
      </c>
      <c r="G11" s="311" t="s">
        <v>390</v>
      </c>
      <c r="H11" s="313" t="s">
        <v>230</v>
      </c>
    </row>
    <row r="12" spans="2:8" ht="7.5" customHeight="1">
      <c r="B12" s="317"/>
      <c r="C12" s="323"/>
      <c r="D12" s="317"/>
      <c r="E12" s="323"/>
      <c r="F12" s="317"/>
      <c r="G12" s="317"/>
      <c r="H12" s="320"/>
    </row>
    <row r="13" spans="2:8" ht="12.75">
      <c r="B13" s="317">
        <f>152766+19001</f>
        <v>171767</v>
      </c>
      <c r="C13" s="323">
        <v>4928</v>
      </c>
      <c r="D13" s="317">
        <v>7807</v>
      </c>
      <c r="E13" s="323">
        <v>1182</v>
      </c>
      <c r="F13" s="317">
        <v>460</v>
      </c>
      <c r="G13" s="317">
        <f>8526+13584+4524</f>
        <v>26634</v>
      </c>
      <c r="H13" s="320">
        <f>B13+C13+D13+E13+F13+G13</f>
        <v>212778</v>
      </c>
    </row>
    <row r="15" ht="12.75">
      <c r="F15" s="305" t="s">
        <v>232</v>
      </c>
    </row>
    <row r="16" ht="11.25" customHeight="1"/>
    <row r="17" spans="1:9" ht="12.75">
      <c r="A17" s="319"/>
      <c r="D17" s="334" t="s">
        <v>234</v>
      </c>
      <c r="E17" s="334" t="s">
        <v>220</v>
      </c>
      <c r="F17" s="334" t="s">
        <v>235</v>
      </c>
      <c r="G17" s="324" t="s">
        <v>239</v>
      </c>
      <c r="H17" s="334" t="s">
        <v>236</v>
      </c>
      <c r="I17" s="324" t="s">
        <v>237</v>
      </c>
    </row>
    <row r="18" spans="4:9" ht="12.75">
      <c r="D18" s="325">
        <f>A6</f>
        <v>787687</v>
      </c>
      <c r="E18" s="325">
        <f>G6</f>
        <v>194854</v>
      </c>
      <c r="F18" s="325">
        <f>H13</f>
        <v>212778</v>
      </c>
      <c r="G18" s="325">
        <f>D18+E18-F18</f>
        <v>769763</v>
      </c>
      <c r="H18" s="325">
        <v>772288</v>
      </c>
      <c r="I18" s="325">
        <f>H18-G18</f>
        <v>2525</v>
      </c>
    </row>
    <row r="19" spans="2:6" ht="12.75">
      <c r="B19" s="319"/>
      <c r="C19" s="319"/>
      <c r="D19" s="319"/>
      <c r="E19" s="319"/>
      <c r="F19" s="319"/>
    </row>
    <row r="22" spans="1:7" ht="12.75">
      <c r="A22" s="305" t="s">
        <v>392</v>
      </c>
      <c r="B22" s="326" t="s">
        <v>283</v>
      </c>
      <c r="C22" s="326"/>
      <c r="D22" s="305" t="s">
        <v>244</v>
      </c>
      <c r="E22" s="305" t="s">
        <v>243</v>
      </c>
      <c r="F22" s="328" t="s">
        <v>393</v>
      </c>
      <c r="G22" s="328"/>
    </row>
    <row r="23" ht="12.75">
      <c r="G23" s="305" t="s">
        <v>383</v>
      </c>
    </row>
    <row r="25" ht="12.75">
      <c r="H25" s="329" t="s">
        <v>394</v>
      </c>
    </row>
    <row r="28" ht="12.75">
      <c r="H28" s="327" t="s">
        <v>382</v>
      </c>
    </row>
  </sheetData>
  <mergeCells count="2">
    <mergeCell ref="B22:C22"/>
    <mergeCell ref="F22:G22"/>
  </mergeCells>
  <printOptions/>
  <pageMargins left="0.75" right="0.75" top="1" bottom="1" header="0.4921259845" footer="0.4921259845"/>
  <pageSetup horizontalDpi="300" verticalDpi="300" orientation="landscape" paperSize="9" r:id="rId2"/>
  <headerFooter alignWithMargins="0">
    <oddHeader>&amp;LKitenge Somwé&amp;C&amp;A&amp;R&amp;D</oddHeader>
    <oddFooter>&amp;L&amp;"Arial,Gras" Confidentiel&amp;C&amp;F&amp;RSki/&amp;"Arial,Gras"Ghu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Q35"/>
  <sheetViews>
    <sheetView workbookViewId="0" topLeftCell="G1">
      <selection activeCell="H17" sqref="H17"/>
    </sheetView>
  </sheetViews>
  <sheetFormatPr defaultColWidth="11.421875" defaultRowHeight="12.75"/>
  <cols>
    <col min="1" max="1" width="7.57421875" style="0" customWidth="1"/>
    <col min="2" max="2" width="8.28125" style="0" customWidth="1"/>
    <col min="3" max="4" width="7.57421875" style="0" customWidth="1"/>
    <col min="5" max="5" width="7.421875" style="0" customWidth="1"/>
    <col min="6" max="6" width="7.57421875" style="0" customWidth="1"/>
    <col min="7" max="7" width="7.421875" style="0" customWidth="1"/>
    <col min="8" max="8" width="6.57421875" style="0" customWidth="1"/>
    <col min="9" max="9" width="8.00390625" style="0" customWidth="1"/>
    <col min="10" max="10" width="7.421875" style="0" customWidth="1"/>
    <col min="11" max="11" width="6.28125" style="0" customWidth="1"/>
    <col min="12" max="12" width="7.8515625" style="0" customWidth="1"/>
    <col min="13" max="13" width="7.7109375" style="0" customWidth="1"/>
    <col min="14" max="14" width="7.57421875" style="0" customWidth="1"/>
    <col min="15" max="15" width="7.8515625" style="0" customWidth="1"/>
    <col min="16" max="17" width="6.8515625" style="0" customWidth="1"/>
  </cols>
  <sheetData>
    <row r="1" spans="1:17" ht="35.25" customHeight="1">
      <c r="A1" t="s">
        <v>146</v>
      </c>
      <c r="B1" s="56" t="s">
        <v>177</v>
      </c>
      <c r="C1" s="56" t="s">
        <v>178</v>
      </c>
      <c r="D1" s="56" t="s">
        <v>179</v>
      </c>
      <c r="E1" s="56" t="s">
        <v>180</v>
      </c>
      <c r="F1" s="56" t="s">
        <v>181</v>
      </c>
      <c r="G1" s="79" t="s">
        <v>182</v>
      </c>
      <c r="H1" s="56" t="s">
        <v>183</v>
      </c>
      <c r="I1" s="56" t="s">
        <v>184</v>
      </c>
      <c r="J1" s="79" t="s">
        <v>185</v>
      </c>
      <c r="K1" s="56" t="s">
        <v>186</v>
      </c>
      <c r="L1" s="56" t="s">
        <v>187</v>
      </c>
      <c r="M1" s="56" t="s">
        <v>188</v>
      </c>
      <c r="N1" s="56" t="s">
        <v>281</v>
      </c>
      <c r="O1" s="56" t="s">
        <v>189</v>
      </c>
      <c r="P1" s="56" t="s">
        <v>190</v>
      </c>
      <c r="Q1" s="56" t="s">
        <v>158</v>
      </c>
    </row>
    <row r="2" spans="1:16" s="3" customFormat="1" ht="11.25">
      <c r="A2" s="65">
        <v>35796</v>
      </c>
      <c r="B2" s="3">
        <v>89732</v>
      </c>
      <c r="C2" s="3">
        <v>181820</v>
      </c>
      <c r="D2" s="3">
        <v>90870</v>
      </c>
      <c r="E2" s="3">
        <f>SUM(C2:D2)</f>
        <v>272690</v>
      </c>
      <c r="F2" s="3">
        <f>SUM(B2:D2)</f>
        <v>362422</v>
      </c>
      <c r="G2" s="15">
        <v>176877</v>
      </c>
      <c r="H2" s="3">
        <v>17831</v>
      </c>
      <c r="I2" s="3">
        <f>G2-H2</f>
        <v>159046</v>
      </c>
      <c r="J2" s="15">
        <v>98090</v>
      </c>
      <c r="K2" s="3">
        <v>8166</v>
      </c>
      <c r="L2" s="3">
        <f>J2-K2</f>
        <v>89924</v>
      </c>
      <c r="M2" s="3">
        <f>I2+L2</f>
        <v>248970</v>
      </c>
      <c r="N2" s="3">
        <v>21541</v>
      </c>
      <c r="O2" s="3">
        <f>I2+L2+N2</f>
        <v>270511</v>
      </c>
      <c r="P2" s="3">
        <f>O2</f>
        <v>270511</v>
      </c>
    </row>
    <row r="3" spans="7:10" s="3" customFormat="1" ht="11.25">
      <c r="G3" s="15"/>
      <c r="J3" s="15"/>
    </row>
    <row r="4" spans="1:16" s="3" customFormat="1" ht="11.25">
      <c r="A4" s="65">
        <v>35827</v>
      </c>
      <c r="C4" s="3">
        <v>138586</v>
      </c>
      <c r="D4" s="3">
        <v>80482</v>
      </c>
      <c r="E4" s="3">
        <f>SUM(C4:D4)</f>
        <v>219068</v>
      </c>
      <c r="F4" s="3">
        <f>SUM(B4:D4)</f>
        <v>219068</v>
      </c>
      <c r="G4" s="15">
        <v>169275</v>
      </c>
      <c r="H4" s="3">
        <v>14377</v>
      </c>
      <c r="I4" s="3">
        <f>G4-H4</f>
        <v>154898</v>
      </c>
      <c r="J4" s="15">
        <v>86436</v>
      </c>
      <c r="K4" s="3">
        <v>9355</v>
      </c>
      <c r="L4" s="3">
        <f>J4-K4</f>
        <v>77081</v>
      </c>
      <c r="M4" s="3">
        <f>I4+L4</f>
        <v>231979</v>
      </c>
      <c r="N4" s="3">
        <v>10851</v>
      </c>
      <c r="O4" s="3">
        <f>I4+L4+N4</f>
        <v>242830</v>
      </c>
      <c r="P4" s="3">
        <f>O4</f>
        <v>242830</v>
      </c>
    </row>
    <row r="5" spans="7:10" s="3" customFormat="1" ht="11.25">
      <c r="G5" s="15"/>
      <c r="J5" s="15"/>
    </row>
    <row r="6" spans="1:16" s="3" customFormat="1" ht="11.25">
      <c r="A6" s="90">
        <v>35855</v>
      </c>
      <c r="C6" s="3">
        <v>204981</v>
      </c>
      <c r="D6" s="3">
        <v>65942</v>
      </c>
      <c r="E6" s="3">
        <f>SUM(C6:D6)</f>
        <v>270923</v>
      </c>
      <c r="F6" s="3">
        <f>SUM(B6:D6)</f>
        <v>270923</v>
      </c>
      <c r="G6" s="15">
        <v>199823</v>
      </c>
      <c r="H6" s="3">
        <v>19197</v>
      </c>
      <c r="I6" s="3">
        <f>G6-H6</f>
        <v>180626</v>
      </c>
      <c r="J6" s="15">
        <v>68330</v>
      </c>
      <c r="K6" s="3">
        <v>9664</v>
      </c>
      <c r="L6" s="3">
        <f>J6-K6</f>
        <v>58666</v>
      </c>
      <c r="M6" s="3">
        <f>I6+L6</f>
        <v>239292</v>
      </c>
      <c r="N6" s="3">
        <v>4806</v>
      </c>
      <c r="O6" s="3">
        <f>I6+L6+N6</f>
        <v>244098</v>
      </c>
      <c r="P6" s="3">
        <f>O6</f>
        <v>244098</v>
      </c>
    </row>
    <row r="7" spans="7:14" s="3" customFormat="1" ht="11.25">
      <c r="G7" s="15"/>
      <c r="J7" s="15"/>
      <c r="N7" s="3" t="s">
        <v>282</v>
      </c>
    </row>
    <row r="8" spans="1:16" s="3" customFormat="1" ht="11.25">
      <c r="A8" s="65">
        <v>35886</v>
      </c>
      <c r="B8" s="3">
        <v>50539</v>
      </c>
      <c r="C8" s="3">
        <v>183866</v>
      </c>
      <c r="D8" s="3">
        <v>56626</v>
      </c>
      <c r="E8" s="3">
        <f>SUM(C8:D8)</f>
        <v>240492</v>
      </c>
      <c r="F8" s="3">
        <f>E8+B8</f>
        <v>291031</v>
      </c>
      <c r="G8" s="15">
        <v>163329</v>
      </c>
      <c r="H8" s="3">
        <v>11934</v>
      </c>
      <c r="I8" s="3">
        <f>G8-H8</f>
        <v>151395</v>
      </c>
      <c r="J8" s="15">
        <v>31370</v>
      </c>
      <c r="K8" s="3">
        <v>2834</v>
      </c>
      <c r="L8" s="3">
        <f>J8-K8</f>
        <v>28536</v>
      </c>
      <c r="M8" s="3">
        <f>I8+L8</f>
        <v>179931</v>
      </c>
      <c r="N8" s="3">
        <f>6013+4082</f>
        <v>10095</v>
      </c>
      <c r="O8" s="3">
        <f>I8+L8+N8</f>
        <v>190026</v>
      </c>
      <c r="P8" s="3">
        <f>O8</f>
        <v>190026</v>
      </c>
    </row>
    <row r="9" spans="7:10" s="3" customFormat="1" ht="11.25">
      <c r="G9" s="15"/>
      <c r="J9" s="15"/>
    </row>
    <row r="10" spans="7:9" s="3" customFormat="1" ht="11.25">
      <c r="G10" s="15"/>
      <c r="I10" s="51"/>
    </row>
    <row r="11" spans="7:10" s="3" customFormat="1" ht="11.25">
      <c r="G11" s="15"/>
      <c r="J11" s="15"/>
    </row>
    <row r="12" spans="7:10" s="3" customFormat="1" ht="11.25">
      <c r="G12" s="15"/>
      <c r="J12" s="15"/>
    </row>
    <row r="13" spans="7:10" s="3" customFormat="1" ht="11.25">
      <c r="G13" s="15"/>
      <c r="J13" s="15"/>
    </row>
    <row r="14" spans="7:10" s="3" customFormat="1" ht="11.25">
      <c r="G14" s="15"/>
      <c r="J14" s="15"/>
    </row>
    <row r="15" s="3" customFormat="1" ht="11.25"/>
    <row r="16" s="3" customFormat="1" ht="11.25"/>
    <row r="17" spans="1:17" s="3" customFormat="1" ht="11.25">
      <c r="A17" s="3" t="s">
        <v>2</v>
      </c>
      <c r="B17" s="3">
        <f aca="true" t="shared" si="0" ref="B17:P17">SUM(B2:B16)</f>
        <v>140271</v>
      </c>
      <c r="C17" s="3">
        <f t="shared" si="0"/>
        <v>709253</v>
      </c>
      <c r="D17" s="3">
        <f t="shared" si="0"/>
        <v>293920</v>
      </c>
      <c r="E17" s="3">
        <f t="shared" si="0"/>
        <v>1003173</v>
      </c>
      <c r="F17" s="15">
        <f t="shared" si="0"/>
        <v>1143444</v>
      </c>
      <c r="G17" s="15">
        <f t="shared" si="0"/>
        <v>709304</v>
      </c>
      <c r="H17" s="3">
        <f t="shared" si="0"/>
        <v>63339</v>
      </c>
      <c r="I17" s="3">
        <f t="shared" si="0"/>
        <v>645965</v>
      </c>
      <c r="J17" s="15">
        <f t="shared" si="0"/>
        <v>284226</v>
      </c>
      <c r="K17" s="3">
        <f t="shared" si="0"/>
        <v>30019</v>
      </c>
      <c r="L17" s="3">
        <f t="shared" si="0"/>
        <v>254207</v>
      </c>
      <c r="M17" s="3">
        <f t="shared" si="0"/>
        <v>900172</v>
      </c>
      <c r="N17" s="91">
        <f t="shared" si="0"/>
        <v>47293</v>
      </c>
      <c r="O17" s="3">
        <f t="shared" si="0"/>
        <v>947465</v>
      </c>
      <c r="P17" s="3">
        <f t="shared" si="0"/>
        <v>947465</v>
      </c>
      <c r="Q17" s="3">
        <v>15000</v>
      </c>
    </row>
    <row r="18" spans="5:11" s="3" customFormat="1" ht="11.25">
      <c r="E18" s="7"/>
      <c r="F18" s="7"/>
      <c r="I18" s="4" t="s">
        <v>191</v>
      </c>
      <c r="J18" s="4"/>
      <c r="K18" s="4">
        <f>H17+K17</f>
        <v>93358</v>
      </c>
    </row>
    <row r="19" spans="5:6" s="3" customFormat="1" ht="11.25">
      <c r="E19" s="7"/>
      <c r="F19" s="7"/>
    </row>
    <row r="20" spans="8:14" s="3" customFormat="1" ht="11.25">
      <c r="H20" s="7"/>
      <c r="I20" s="7"/>
      <c r="J20" s="7"/>
      <c r="K20" s="7"/>
      <c r="L20" s="7"/>
      <c r="M20" s="7"/>
      <c r="N20" s="7"/>
    </row>
    <row r="21" spans="8:17" s="3" customFormat="1" ht="11.25">
      <c r="H21" s="7"/>
      <c r="I21" s="7"/>
      <c r="J21" s="7"/>
      <c r="K21" s="7"/>
      <c r="L21" s="7"/>
      <c r="M21" s="7"/>
      <c r="N21" s="7"/>
      <c r="O21" s="4" t="s">
        <v>192</v>
      </c>
      <c r="Q21" s="4">
        <f>P17-Q17</f>
        <v>932465</v>
      </c>
    </row>
    <row r="22" spans="8:14" s="3" customFormat="1" ht="11.25">
      <c r="H22" s="7"/>
      <c r="I22" s="7"/>
      <c r="J22" s="7"/>
      <c r="K22" s="7"/>
      <c r="L22" s="7"/>
      <c r="M22" s="7"/>
      <c r="N22" s="7"/>
    </row>
    <row r="23" spans="8:14" s="3" customFormat="1" ht="11.25">
      <c r="H23" s="7"/>
      <c r="I23" s="7"/>
      <c r="J23" s="7"/>
      <c r="K23" s="7"/>
      <c r="L23" s="7"/>
      <c r="M23" s="7"/>
      <c r="N23" s="7"/>
    </row>
    <row r="24" spans="8:14" s="3" customFormat="1" ht="11.25">
      <c r="H24" s="7"/>
      <c r="I24" s="7"/>
      <c r="J24" s="7"/>
      <c r="K24" s="7"/>
      <c r="L24" s="7"/>
      <c r="M24" s="7"/>
      <c r="N24" s="7"/>
    </row>
    <row r="25" spans="8:14" s="3" customFormat="1" ht="11.25">
      <c r="H25" s="7"/>
      <c r="I25" s="7"/>
      <c r="J25" s="7"/>
      <c r="K25" s="7"/>
      <c r="L25" s="7"/>
      <c r="M25" s="7"/>
      <c r="N25" s="7"/>
    </row>
    <row r="26" spans="8:14" s="3" customFormat="1" ht="11.25">
      <c r="H26" s="7"/>
      <c r="I26" s="7"/>
      <c r="J26" s="7"/>
      <c r="K26" s="7"/>
      <c r="L26" s="7"/>
      <c r="M26" s="7"/>
      <c r="N26" s="7"/>
    </row>
    <row r="27" spans="8:14" s="3" customFormat="1" ht="11.25">
      <c r="H27" s="7"/>
      <c r="I27" s="7"/>
      <c r="J27" s="7"/>
      <c r="K27" s="7"/>
      <c r="L27" s="7"/>
      <c r="M27" s="7"/>
      <c r="N27" s="7"/>
    </row>
    <row r="28" spans="8:14" s="3" customFormat="1" ht="11.25">
      <c r="H28" s="7"/>
      <c r="I28" s="7"/>
      <c r="J28" s="7"/>
      <c r="K28" s="7"/>
      <c r="L28" s="7"/>
      <c r="M28" s="7"/>
      <c r="N28" s="7"/>
    </row>
    <row r="29" spans="8:14" s="3" customFormat="1" ht="11.25">
      <c r="H29" s="7"/>
      <c r="I29" s="7"/>
      <c r="J29" s="7"/>
      <c r="K29" s="7"/>
      <c r="L29" s="7"/>
      <c r="M29" s="7"/>
      <c r="N29" s="7"/>
    </row>
    <row r="30" spans="8:14" s="3" customFormat="1" ht="11.25">
      <c r="H30" s="7"/>
      <c r="I30" s="7"/>
      <c r="J30" s="7"/>
      <c r="K30" s="7"/>
      <c r="L30" s="7"/>
      <c r="M30" s="7"/>
      <c r="N30" s="7"/>
    </row>
    <row r="31" spans="8:14" s="3" customFormat="1" ht="11.25">
      <c r="H31" s="7"/>
      <c r="I31" s="7"/>
      <c r="J31" s="7"/>
      <c r="K31" s="7"/>
      <c r="L31" s="7"/>
      <c r="M31" s="7"/>
      <c r="N31" s="7"/>
    </row>
    <row r="32" spans="8:14" s="3" customFormat="1" ht="11.25">
      <c r="H32" s="7"/>
      <c r="I32" s="7"/>
      <c r="J32" s="8"/>
      <c r="K32" s="8"/>
      <c r="L32" s="8"/>
      <c r="M32" s="7"/>
      <c r="N32" s="7"/>
    </row>
    <row r="33" spans="8:14" s="3" customFormat="1" ht="11.25">
      <c r="H33" s="7"/>
      <c r="I33" s="7"/>
      <c r="J33" s="8"/>
      <c r="K33" s="92"/>
      <c r="L33" s="8"/>
      <c r="M33" s="7"/>
      <c r="N33" s="7"/>
    </row>
    <row r="34" spans="8:14" s="3" customFormat="1" ht="11.25">
      <c r="H34" s="7"/>
      <c r="I34" s="7"/>
      <c r="J34" s="7"/>
      <c r="K34" s="7"/>
      <c r="L34" s="7"/>
      <c r="M34" s="7"/>
      <c r="N34" s="7"/>
    </row>
    <row r="35" spans="8:14" ht="12.75">
      <c r="H35" s="93"/>
      <c r="I35" s="93"/>
      <c r="J35" s="93"/>
      <c r="K35" s="93"/>
      <c r="L35" s="93"/>
      <c r="M35" s="93"/>
      <c r="N35" s="93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&amp;LKitenge Somwé&amp;C&amp;A&amp;R&amp;D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/>
  <dimension ref="A1:Q105"/>
  <sheetViews>
    <sheetView showZeros="0" workbookViewId="0" topLeftCell="A1">
      <pane ySplit="1" topLeftCell="BM29" activePane="bottomLeft" state="frozen"/>
      <selection pane="topLeft" activeCell="A1" sqref="A1"/>
      <selection pane="bottomLeft" activeCell="J37" sqref="J37"/>
    </sheetView>
  </sheetViews>
  <sheetFormatPr defaultColWidth="11.421875" defaultRowHeight="12.75" outlineLevelRow="2"/>
  <cols>
    <col min="1" max="1" width="9.00390625" style="0" customWidth="1"/>
    <col min="2" max="2" width="5.8515625" style="0" customWidth="1"/>
    <col min="3" max="3" width="12.00390625" style="0" customWidth="1"/>
    <col min="4" max="4" width="11.28125" style="0" customWidth="1"/>
    <col min="5" max="5" width="11.8515625" style="0" customWidth="1"/>
    <col min="6" max="6" width="11.7109375" style="0" customWidth="1"/>
    <col min="7" max="7" width="11.8515625" style="0" customWidth="1"/>
    <col min="8" max="8" width="10.00390625" style="0" customWidth="1"/>
    <col min="9" max="9" width="11.28125" style="0" customWidth="1"/>
    <col min="10" max="10" width="11.421875" style="78" customWidth="1"/>
    <col min="11" max="11" width="10.00390625" style="0" customWidth="1"/>
  </cols>
  <sheetData>
    <row r="1" spans="1:17" s="44" customFormat="1" ht="43.5" customHeight="1">
      <c r="A1" s="44" t="s">
        <v>146</v>
      </c>
      <c r="B1" s="62" t="s">
        <v>147</v>
      </c>
      <c r="C1" s="62" t="s">
        <v>148</v>
      </c>
      <c r="D1" s="62" t="s">
        <v>149</v>
      </c>
      <c r="E1" s="63" t="s">
        <v>150</v>
      </c>
      <c r="F1" s="62" t="s">
        <v>151</v>
      </c>
      <c r="G1" s="62" t="s">
        <v>152</v>
      </c>
      <c r="H1" s="62" t="s">
        <v>153</v>
      </c>
      <c r="I1" s="4" t="s">
        <v>154</v>
      </c>
      <c r="J1" s="64" t="s">
        <v>155</v>
      </c>
      <c r="K1" s="44" t="s">
        <v>156</v>
      </c>
      <c r="L1" s="62" t="s">
        <v>157</v>
      </c>
      <c r="N1" s="4"/>
      <c r="Q1" s="62"/>
    </row>
    <row r="2" spans="1:12" s="3" customFormat="1" ht="11.25" outlineLevel="2">
      <c r="A2" s="65">
        <v>35735</v>
      </c>
      <c r="B2" s="3">
        <v>1</v>
      </c>
      <c r="C2" s="66">
        <v>23365</v>
      </c>
      <c r="D2" s="66"/>
      <c r="E2" s="66"/>
      <c r="F2" s="66"/>
      <c r="G2" s="66"/>
      <c r="H2" s="66">
        <v>0</v>
      </c>
      <c r="I2" s="66"/>
      <c r="J2" s="67">
        <v>66834</v>
      </c>
      <c r="K2" s="11"/>
      <c r="L2" s="66" t="s">
        <v>159</v>
      </c>
    </row>
    <row r="3" spans="1:12" s="3" customFormat="1" ht="11.25" outlineLevel="2">
      <c r="A3" s="65">
        <v>35735</v>
      </c>
      <c r="B3" s="3">
        <v>2</v>
      </c>
      <c r="C3" s="66">
        <v>22795</v>
      </c>
      <c r="D3" s="66"/>
      <c r="E3" s="66"/>
      <c r="F3" s="66"/>
      <c r="G3" s="66"/>
      <c r="H3" s="66"/>
      <c r="I3" s="66"/>
      <c r="J3" s="66"/>
      <c r="L3" s="66" t="s">
        <v>160</v>
      </c>
    </row>
    <row r="4" spans="1:12" s="3" customFormat="1" ht="11.25" outlineLevel="1">
      <c r="A4" s="68" t="s">
        <v>161</v>
      </c>
      <c r="C4" s="69">
        <f>SUBTOTAL(9,C2:C3)</f>
        <v>46160</v>
      </c>
      <c r="D4" s="66"/>
      <c r="E4" s="66"/>
      <c r="F4" s="66"/>
      <c r="G4" s="66"/>
      <c r="H4" s="66"/>
      <c r="I4" s="66"/>
      <c r="J4" s="66"/>
      <c r="L4" s="66" t="s">
        <v>162</v>
      </c>
    </row>
    <row r="5" spans="1:12" s="3" customFormat="1" ht="11.25" outlineLevel="2">
      <c r="A5" s="65">
        <v>35765</v>
      </c>
      <c r="B5" s="3">
        <v>3</v>
      </c>
      <c r="C5" s="66">
        <v>23073</v>
      </c>
      <c r="D5" s="66"/>
      <c r="E5" s="66"/>
      <c r="F5" s="66"/>
      <c r="G5" s="66"/>
      <c r="H5" s="66"/>
      <c r="I5" s="66"/>
      <c r="J5" s="66"/>
      <c r="L5" s="66" t="s">
        <v>163</v>
      </c>
    </row>
    <row r="6" spans="1:12" s="3" customFormat="1" ht="11.25" outlineLevel="2">
      <c r="A6" s="65">
        <v>35765</v>
      </c>
      <c r="B6" s="3">
        <v>4</v>
      </c>
      <c r="C6" s="66">
        <v>22734</v>
      </c>
      <c r="D6" s="66"/>
      <c r="E6" s="66"/>
      <c r="F6" s="66"/>
      <c r="G6" s="66"/>
      <c r="H6" s="66"/>
      <c r="I6" s="66"/>
      <c r="J6" s="66"/>
      <c r="L6" s="66" t="s">
        <v>164</v>
      </c>
    </row>
    <row r="7" spans="1:12" s="3" customFormat="1" ht="11.25" outlineLevel="2">
      <c r="A7" s="65">
        <v>35765</v>
      </c>
      <c r="B7" s="3">
        <v>5</v>
      </c>
      <c r="C7" s="66">
        <v>23203</v>
      </c>
      <c r="D7" s="66"/>
      <c r="E7" s="66"/>
      <c r="F7" s="66"/>
      <c r="G7" s="66"/>
      <c r="H7" s="66"/>
      <c r="I7" s="66"/>
      <c r="J7" s="66"/>
      <c r="L7" s="66" t="s">
        <v>165</v>
      </c>
    </row>
    <row r="8" spans="1:12" s="3" customFormat="1" ht="11.25" outlineLevel="2">
      <c r="A8" s="65">
        <v>35765</v>
      </c>
      <c r="B8" s="3">
        <v>6</v>
      </c>
      <c r="C8" s="66">
        <v>22838</v>
      </c>
      <c r="D8" s="66"/>
      <c r="E8" s="66"/>
      <c r="F8" s="66"/>
      <c r="G8" s="66"/>
      <c r="H8" s="66"/>
      <c r="I8" s="66"/>
      <c r="J8" s="66" t="s">
        <v>166</v>
      </c>
      <c r="L8" s="66" t="s">
        <v>167</v>
      </c>
    </row>
    <row r="9" spans="1:12" s="3" customFormat="1" ht="11.25" outlineLevel="2">
      <c r="A9" s="65">
        <v>35765</v>
      </c>
      <c r="B9" s="3">
        <v>7</v>
      </c>
      <c r="C9" s="66">
        <v>23564</v>
      </c>
      <c r="D9" s="66"/>
      <c r="E9" s="66"/>
      <c r="F9" s="66"/>
      <c r="G9" s="66"/>
      <c r="H9" s="66"/>
      <c r="I9" s="66"/>
      <c r="J9" s="66"/>
      <c r="L9" s="66" t="s">
        <v>168</v>
      </c>
    </row>
    <row r="10" spans="1:12" s="3" customFormat="1" ht="11.25" outlineLevel="2">
      <c r="A10" s="65">
        <v>35765</v>
      </c>
      <c r="B10" s="3">
        <v>8</v>
      </c>
      <c r="C10" s="66">
        <v>23299</v>
      </c>
      <c r="D10" s="66"/>
      <c r="E10" s="66"/>
      <c r="F10" s="66"/>
      <c r="G10" s="66"/>
      <c r="H10" s="66"/>
      <c r="I10" s="66"/>
      <c r="J10" s="70"/>
      <c r="K10" s="7"/>
      <c r="L10" s="66" t="s">
        <v>165</v>
      </c>
    </row>
    <row r="11" spans="1:12" s="3" customFormat="1" ht="11.25" outlineLevel="1">
      <c r="A11" s="71" t="s">
        <v>169</v>
      </c>
      <c r="C11" s="69">
        <f>SUBTOTAL(9,C5:C10)</f>
        <v>138711</v>
      </c>
      <c r="D11" s="66">
        <f>C11+C4</f>
        <v>184871</v>
      </c>
      <c r="E11" s="66">
        <v>129208</v>
      </c>
      <c r="F11" s="66">
        <v>10348</v>
      </c>
      <c r="G11" s="66">
        <f>E11-F11</f>
        <v>118860</v>
      </c>
      <c r="H11" s="66">
        <f>H2+G11</f>
        <v>118860</v>
      </c>
      <c r="I11" s="66">
        <f>D11-E11</f>
        <v>55663</v>
      </c>
      <c r="J11" s="72">
        <v>38368</v>
      </c>
      <c r="K11" s="70">
        <f>4407+4896</f>
        <v>9303</v>
      </c>
      <c r="L11" s="66">
        <v>66834</v>
      </c>
    </row>
    <row r="12" spans="1:12" s="3" customFormat="1" ht="11.25" outlineLevel="2">
      <c r="A12" s="65">
        <v>35796</v>
      </c>
      <c r="B12" s="3">
        <v>9</v>
      </c>
      <c r="C12" s="66">
        <v>22676</v>
      </c>
      <c r="D12" s="66"/>
      <c r="E12" s="66"/>
      <c r="F12" s="66"/>
      <c r="G12" s="66"/>
      <c r="H12" s="66"/>
      <c r="I12" s="66"/>
      <c r="J12" s="70"/>
      <c r="K12" s="7"/>
      <c r="L12" s="66" t="s">
        <v>170</v>
      </c>
    </row>
    <row r="13" spans="1:12" s="3" customFormat="1" ht="11.25" outlineLevel="2">
      <c r="A13" s="65">
        <v>35796</v>
      </c>
      <c r="B13" s="3">
        <v>10</v>
      </c>
      <c r="C13" s="66">
        <v>22730</v>
      </c>
      <c r="D13" s="66"/>
      <c r="E13" s="66"/>
      <c r="F13" s="66"/>
      <c r="G13" s="66"/>
      <c r="H13" s="66"/>
      <c r="I13" s="66"/>
      <c r="J13" s="70"/>
      <c r="K13" s="7"/>
      <c r="L13" s="66"/>
    </row>
    <row r="14" spans="1:12" s="3" customFormat="1" ht="11.25" outlineLevel="2">
      <c r="A14" s="65">
        <v>35796</v>
      </c>
      <c r="B14" s="3">
        <v>11</v>
      </c>
      <c r="C14" s="66">
        <v>22723</v>
      </c>
      <c r="D14" s="66"/>
      <c r="E14" s="66"/>
      <c r="F14" s="66"/>
      <c r="G14" s="66"/>
      <c r="H14" s="66"/>
      <c r="I14" s="66"/>
      <c r="J14" s="70"/>
      <c r="K14" s="7"/>
      <c r="L14" s="66"/>
    </row>
    <row r="15" spans="1:11" s="3" customFormat="1" ht="11.25" outlineLevel="2">
      <c r="A15" s="65">
        <v>35796</v>
      </c>
      <c r="B15" s="3">
        <v>12</v>
      </c>
      <c r="C15" s="66">
        <v>22461</v>
      </c>
      <c r="D15" s="66"/>
      <c r="E15" s="66"/>
      <c r="F15" s="66"/>
      <c r="G15" s="66"/>
      <c r="H15" s="66"/>
      <c r="I15" s="66"/>
      <c r="J15" s="70"/>
      <c r="K15" s="70"/>
    </row>
    <row r="16" spans="1:12" s="3" customFormat="1" ht="11.25" outlineLevel="2">
      <c r="A16" s="65">
        <v>35796</v>
      </c>
      <c r="B16" s="3">
        <v>13</v>
      </c>
      <c r="C16" s="66">
        <v>22935</v>
      </c>
      <c r="D16" s="66"/>
      <c r="E16" s="66"/>
      <c r="F16" s="66"/>
      <c r="G16" s="66"/>
      <c r="H16" s="66"/>
      <c r="I16" s="66"/>
      <c r="J16" s="70"/>
      <c r="K16" s="70"/>
      <c r="L16" s="73"/>
    </row>
    <row r="17" spans="1:11" s="3" customFormat="1" ht="11.25" outlineLevel="2">
      <c r="A17" s="65">
        <v>35796</v>
      </c>
      <c r="B17" s="3">
        <v>14</v>
      </c>
      <c r="C17" s="66">
        <v>22649</v>
      </c>
      <c r="D17" s="66"/>
      <c r="E17" s="66"/>
      <c r="F17" s="66"/>
      <c r="G17" s="66"/>
      <c r="H17" s="66"/>
      <c r="I17" s="66"/>
      <c r="J17" s="70"/>
      <c r="K17" s="70"/>
    </row>
    <row r="18" spans="1:11" s="3" customFormat="1" ht="11.25" outlineLevel="2">
      <c r="A18" s="65">
        <v>35796</v>
      </c>
      <c r="B18" s="3">
        <v>15</v>
      </c>
      <c r="C18" s="66">
        <v>22689</v>
      </c>
      <c r="D18" s="66"/>
      <c r="E18" s="66"/>
      <c r="F18" s="66"/>
      <c r="G18" s="66"/>
      <c r="H18" s="66"/>
      <c r="I18" s="66"/>
      <c r="J18" s="70"/>
      <c r="K18" s="70"/>
    </row>
    <row r="19" spans="1:11" s="3" customFormat="1" ht="11.25" outlineLevel="2">
      <c r="A19" s="65">
        <v>35796</v>
      </c>
      <c r="B19" s="3">
        <v>16</v>
      </c>
      <c r="C19" s="66">
        <v>22957</v>
      </c>
      <c r="D19" s="66"/>
      <c r="E19" s="66"/>
      <c r="F19" s="66"/>
      <c r="G19" s="66"/>
      <c r="H19" s="66"/>
      <c r="I19" s="66"/>
      <c r="J19" s="67"/>
      <c r="K19" s="67"/>
    </row>
    <row r="20" spans="1:11" s="3" customFormat="1" ht="11.25" outlineLevel="1">
      <c r="A20" s="71" t="s">
        <v>171</v>
      </c>
      <c r="C20" s="69">
        <f>SUBTOTAL(9,C12:C19)</f>
        <v>181820</v>
      </c>
      <c r="D20" s="66">
        <f>C20+I11</f>
        <v>237483</v>
      </c>
      <c r="E20" s="66">
        <v>176877</v>
      </c>
      <c r="F20" s="66">
        <v>17831</v>
      </c>
      <c r="G20" s="66">
        <f>E20-F20</f>
        <v>159046</v>
      </c>
      <c r="H20" s="66">
        <f>H11+G20</f>
        <v>277906</v>
      </c>
      <c r="I20" s="66">
        <f>D20-E20</f>
        <v>60606</v>
      </c>
      <c r="J20" s="74">
        <v>89924</v>
      </c>
      <c r="K20" s="75">
        <v>21541</v>
      </c>
    </row>
    <row r="21" spans="1:11" s="3" customFormat="1" ht="11.25" outlineLevel="2">
      <c r="A21" s="65">
        <v>35827</v>
      </c>
      <c r="B21" s="3">
        <v>17</v>
      </c>
      <c r="C21" s="66">
        <v>22855</v>
      </c>
      <c r="D21" s="66"/>
      <c r="E21" s="66"/>
      <c r="F21" s="66"/>
      <c r="G21" s="66"/>
      <c r="H21" s="66"/>
      <c r="I21" s="66"/>
      <c r="J21" s="74"/>
      <c r="K21" s="75"/>
    </row>
    <row r="22" spans="1:11" s="3" customFormat="1" ht="11.25" outlineLevel="2">
      <c r="A22" s="65">
        <v>35827</v>
      </c>
      <c r="B22" s="3">
        <v>18</v>
      </c>
      <c r="C22" s="66">
        <v>23233</v>
      </c>
      <c r="D22" s="66"/>
      <c r="E22" s="66"/>
      <c r="F22" s="66"/>
      <c r="G22" s="66"/>
      <c r="H22" s="66"/>
      <c r="I22" s="66"/>
      <c r="J22" s="74"/>
      <c r="K22" s="75"/>
    </row>
    <row r="23" spans="1:11" s="3" customFormat="1" ht="11.25" outlineLevel="2">
      <c r="A23" s="65">
        <v>35827</v>
      </c>
      <c r="B23" s="3">
        <v>19</v>
      </c>
      <c r="C23" s="66">
        <v>23084</v>
      </c>
      <c r="D23" s="66"/>
      <c r="E23" s="66"/>
      <c r="F23" s="66"/>
      <c r="G23" s="66"/>
      <c r="H23" s="66"/>
      <c r="I23" s="66"/>
      <c r="J23" s="74"/>
      <c r="K23" s="75"/>
    </row>
    <row r="24" spans="1:11" s="3" customFormat="1" ht="11.25" outlineLevel="2">
      <c r="A24" s="65">
        <v>35827</v>
      </c>
      <c r="B24" s="3">
        <v>20</v>
      </c>
      <c r="C24" s="66">
        <v>23395</v>
      </c>
      <c r="D24" s="66"/>
      <c r="E24" s="66"/>
      <c r="F24" s="66"/>
      <c r="G24" s="66"/>
      <c r="H24" s="66"/>
      <c r="I24" s="66"/>
      <c r="J24" s="74"/>
      <c r="K24" s="75"/>
    </row>
    <row r="25" spans="1:11" s="3" customFormat="1" ht="11.25" outlineLevel="2">
      <c r="A25" s="65">
        <v>35827</v>
      </c>
      <c r="B25" s="3">
        <v>21</v>
      </c>
      <c r="C25" s="66">
        <v>23102</v>
      </c>
      <c r="D25" s="66"/>
      <c r="E25" s="66"/>
      <c r="F25" s="66"/>
      <c r="G25" s="66"/>
      <c r="H25" s="66"/>
      <c r="I25" s="66"/>
      <c r="J25" s="74"/>
      <c r="K25" s="75"/>
    </row>
    <row r="26" spans="1:11" s="3" customFormat="1" ht="11.25" outlineLevel="2">
      <c r="A26" s="65">
        <v>35827</v>
      </c>
      <c r="B26" s="3">
        <v>22</v>
      </c>
      <c r="C26" s="66">
        <v>22917</v>
      </c>
      <c r="D26" s="66"/>
      <c r="E26" s="66"/>
      <c r="F26" s="66"/>
      <c r="G26" s="66"/>
      <c r="H26" s="66"/>
      <c r="I26" s="66"/>
      <c r="J26" s="74"/>
      <c r="K26" s="75"/>
    </row>
    <row r="27" spans="1:11" s="3" customFormat="1" ht="11.25" outlineLevel="1">
      <c r="A27" s="71" t="s">
        <v>172</v>
      </c>
      <c r="C27" s="69">
        <f>SUBTOTAL(9,C21:C26)</f>
        <v>138586</v>
      </c>
      <c r="D27" s="66">
        <f>C27+I20</f>
        <v>199192</v>
      </c>
      <c r="E27" s="66">
        <v>169275</v>
      </c>
      <c r="F27" s="66">
        <v>14377</v>
      </c>
      <c r="G27" s="66">
        <f>E27-F27</f>
        <v>154898</v>
      </c>
      <c r="H27" s="66">
        <f>H20+G27</f>
        <v>432804</v>
      </c>
      <c r="I27" s="66">
        <f>D27-E27</f>
        <v>29917</v>
      </c>
      <c r="J27" s="74">
        <v>77081</v>
      </c>
      <c r="K27" s="75">
        <v>10851</v>
      </c>
    </row>
    <row r="28" spans="1:11" s="3" customFormat="1" ht="11.25" outlineLevel="2">
      <c r="A28" s="65">
        <v>35855</v>
      </c>
      <c r="B28" s="3">
        <v>23</v>
      </c>
      <c r="C28" s="66">
        <v>22531</v>
      </c>
      <c r="D28" s="66"/>
      <c r="E28" s="66"/>
      <c r="F28" s="66"/>
      <c r="G28" s="66"/>
      <c r="H28" s="66"/>
      <c r="I28" s="66"/>
      <c r="J28" s="74"/>
      <c r="K28" s="75"/>
    </row>
    <row r="29" spans="1:11" s="3" customFormat="1" ht="11.25" outlineLevel="2">
      <c r="A29" s="65">
        <v>35855</v>
      </c>
      <c r="B29" s="3">
        <v>24</v>
      </c>
      <c r="C29" s="66">
        <v>22749</v>
      </c>
      <c r="D29" s="66"/>
      <c r="E29" s="66"/>
      <c r="F29" s="66"/>
      <c r="G29" s="66"/>
      <c r="H29" s="66"/>
      <c r="I29" s="66"/>
      <c r="J29" s="74"/>
      <c r="K29" s="75"/>
    </row>
    <row r="30" spans="1:14" s="3" customFormat="1" ht="11.25" outlineLevel="2">
      <c r="A30" s="65">
        <v>35855</v>
      </c>
      <c r="B30" s="3">
        <v>25</v>
      </c>
      <c r="C30" s="66">
        <v>23073</v>
      </c>
      <c r="D30" s="66"/>
      <c r="E30" s="66"/>
      <c r="F30" s="66"/>
      <c r="G30" s="66"/>
      <c r="H30" s="66"/>
      <c r="I30" s="66"/>
      <c r="J30" s="74"/>
      <c r="K30" s="75"/>
      <c r="N30" s="4"/>
    </row>
    <row r="31" spans="1:11" s="3" customFormat="1" ht="11.25" outlineLevel="2">
      <c r="A31" s="65">
        <v>35855</v>
      </c>
      <c r="B31" s="3">
        <v>26</v>
      </c>
      <c r="C31" s="66">
        <v>22579</v>
      </c>
      <c r="D31" s="66"/>
      <c r="E31" s="66"/>
      <c r="F31" s="66"/>
      <c r="G31" s="66"/>
      <c r="H31" s="66"/>
      <c r="I31" s="66"/>
      <c r="J31" s="74"/>
      <c r="K31" s="75"/>
    </row>
    <row r="32" spans="1:11" s="3" customFormat="1" ht="11.25" outlineLevel="2">
      <c r="A32" s="65">
        <v>35855</v>
      </c>
      <c r="B32" s="3">
        <v>27</v>
      </c>
      <c r="C32" s="66">
        <v>22987</v>
      </c>
      <c r="D32" s="66"/>
      <c r="E32" s="66"/>
      <c r="F32" s="66"/>
      <c r="G32" s="66"/>
      <c r="H32" s="66"/>
      <c r="I32" s="66"/>
      <c r="J32" s="74"/>
      <c r="K32" s="75"/>
    </row>
    <row r="33" spans="1:12" s="3" customFormat="1" ht="11.25" outlineLevel="2">
      <c r="A33" s="65">
        <v>35855</v>
      </c>
      <c r="B33" s="3">
        <v>28</v>
      </c>
      <c r="C33" s="66">
        <v>23294</v>
      </c>
      <c r="D33" s="66"/>
      <c r="E33" s="66"/>
      <c r="F33" s="66"/>
      <c r="G33" s="66"/>
      <c r="H33" s="66"/>
      <c r="I33" s="66"/>
      <c r="J33" s="74"/>
      <c r="K33" s="75"/>
      <c r="L33" s="3" t="s">
        <v>173</v>
      </c>
    </row>
    <row r="34" spans="1:12" s="3" customFormat="1" ht="11.25" outlineLevel="2">
      <c r="A34" s="65">
        <v>35855</v>
      </c>
      <c r="B34" s="3">
        <v>29</v>
      </c>
      <c r="C34" s="66">
        <v>23626</v>
      </c>
      <c r="D34" s="66"/>
      <c r="E34" s="66"/>
      <c r="F34" s="66"/>
      <c r="G34" s="66"/>
      <c r="H34" s="66"/>
      <c r="I34" s="66"/>
      <c r="J34" s="74"/>
      <c r="K34" s="75"/>
      <c r="L34" s="3" t="s">
        <v>174</v>
      </c>
    </row>
    <row r="35" spans="1:12" s="3" customFormat="1" ht="11.25" outlineLevel="2">
      <c r="A35" s="65">
        <v>35855</v>
      </c>
      <c r="B35" s="3">
        <v>30</v>
      </c>
      <c r="C35" s="66">
        <v>22753</v>
      </c>
      <c r="D35" s="66"/>
      <c r="E35" s="66"/>
      <c r="F35" s="66"/>
      <c r="G35" s="66"/>
      <c r="H35" s="66"/>
      <c r="I35" s="66"/>
      <c r="J35" s="74"/>
      <c r="K35" s="75"/>
      <c r="L35" s="73">
        <f>H36-118860</f>
        <v>494570</v>
      </c>
    </row>
    <row r="36" spans="1:12" s="3" customFormat="1" ht="11.25" outlineLevel="2">
      <c r="A36" s="65">
        <v>35855</v>
      </c>
      <c r="B36" s="3">
        <v>31</v>
      </c>
      <c r="C36" s="66">
        <v>21389</v>
      </c>
      <c r="D36" s="66">
        <f>C37+I27</f>
        <v>234898</v>
      </c>
      <c r="E36" s="66">
        <v>199823</v>
      </c>
      <c r="F36" s="66">
        <v>19197</v>
      </c>
      <c r="G36" s="66">
        <f>E36-F36</f>
        <v>180626</v>
      </c>
      <c r="H36" s="69">
        <f>H27+G36</f>
        <v>613430</v>
      </c>
      <c r="I36" s="69">
        <f>D36-E36</f>
        <v>35075</v>
      </c>
      <c r="J36" s="74">
        <v>58666</v>
      </c>
      <c r="K36" s="75">
        <v>4806</v>
      </c>
      <c r="L36" s="73">
        <f>J37</f>
        <v>225671</v>
      </c>
    </row>
    <row r="37" spans="1:12" s="3" customFormat="1" ht="12" outlineLevel="1" thickBot="1">
      <c r="A37" s="71" t="s">
        <v>175</v>
      </c>
      <c r="C37" s="69">
        <f>SUBTOTAL(9,C28:C36)</f>
        <v>204981</v>
      </c>
      <c r="J37" s="76">
        <f>SUM(J20:J36)</f>
        <v>225671</v>
      </c>
      <c r="K37" s="77">
        <f>SUM(K20:K36)</f>
        <v>37198</v>
      </c>
      <c r="L37" s="73">
        <f>K37</f>
        <v>37198</v>
      </c>
    </row>
    <row r="38" spans="1:12" s="3" customFormat="1" ht="11.25">
      <c r="A38" s="71" t="s">
        <v>176</v>
      </c>
      <c r="C38" s="69">
        <f>SUBTOTAL(9,C2:C36)</f>
        <v>710258</v>
      </c>
      <c r="D38" s="66"/>
      <c r="E38" s="69">
        <f>SUM(E2:E36)</f>
        <v>675183</v>
      </c>
      <c r="F38" s="69">
        <f>SUM(F2:F36)</f>
        <v>61753</v>
      </c>
      <c r="G38" s="66">
        <f>SUM(G2:G36)</f>
        <v>613430</v>
      </c>
      <c r="H38" s="66"/>
      <c r="I38" s="66">
        <f>SUM(I2:I36)</f>
        <v>181261</v>
      </c>
      <c r="J38" s="74"/>
      <c r="K38" s="70"/>
      <c r="L38" s="87">
        <f>SUM(L35:L37)</f>
        <v>757439</v>
      </c>
    </row>
    <row r="39" spans="1:13" s="3" customFormat="1" ht="9.75" customHeight="1">
      <c r="A39" s="71"/>
      <c r="C39" s="85"/>
      <c r="D39" s="86"/>
      <c r="E39" s="85"/>
      <c r="F39" s="85"/>
      <c r="G39" s="86"/>
      <c r="H39" s="86"/>
      <c r="I39" s="86"/>
      <c r="J39" s="88"/>
      <c r="K39" s="88"/>
      <c r="L39" s="89"/>
      <c r="M39" s="86"/>
    </row>
    <row r="40" spans="1:13" s="3" customFormat="1" ht="9.75" customHeight="1">
      <c r="A40" s="71">
        <v>35886</v>
      </c>
      <c r="B40" s="3">
        <v>32</v>
      </c>
      <c r="C40" s="86">
        <v>22647</v>
      </c>
      <c r="D40" s="86"/>
      <c r="E40" s="85"/>
      <c r="F40" s="85"/>
      <c r="G40" s="86"/>
      <c r="H40" s="86"/>
      <c r="I40" s="86"/>
      <c r="J40" s="88"/>
      <c r="K40" s="88"/>
      <c r="L40" s="89"/>
      <c r="M40" s="86"/>
    </row>
    <row r="41" spans="1:13" s="3" customFormat="1" ht="9.75" customHeight="1">
      <c r="A41" s="71">
        <v>35886</v>
      </c>
      <c r="B41" s="3">
        <v>33</v>
      </c>
      <c r="C41" s="86">
        <v>22910</v>
      </c>
      <c r="D41" s="86"/>
      <c r="E41" s="85"/>
      <c r="F41" s="85"/>
      <c r="G41" s="86"/>
      <c r="H41" s="86"/>
      <c r="I41" s="86"/>
      <c r="J41" s="88"/>
      <c r="K41" s="88"/>
      <c r="L41" s="89"/>
      <c r="M41" s="86"/>
    </row>
    <row r="42" spans="1:13" s="3" customFormat="1" ht="9.75" customHeight="1">
      <c r="A42" s="71">
        <v>35886</v>
      </c>
      <c r="B42" s="3">
        <v>34</v>
      </c>
      <c r="C42" s="86">
        <v>23516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</row>
    <row r="43" spans="1:13" s="3" customFormat="1" ht="9.75" customHeight="1">
      <c r="A43" s="71">
        <v>35886</v>
      </c>
      <c r="B43" s="3">
        <v>35</v>
      </c>
      <c r="C43" s="86">
        <v>23290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</row>
    <row r="44" spans="1:13" s="3" customFormat="1" ht="9.75" customHeight="1">
      <c r="A44" s="71">
        <v>35886</v>
      </c>
      <c r="B44" s="3">
        <v>36</v>
      </c>
      <c r="C44" s="86">
        <v>22871</v>
      </c>
      <c r="D44" s="86"/>
      <c r="E44" s="86"/>
      <c r="F44" s="86"/>
      <c r="G44" s="86"/>
      <c r="H44" s="86"/>
      <c r="I44" s="86"/>
      <c r="J44" s="86"/>
      <c r="K44" s="86"/>
      <c r="L44" s="86"/>
      <c r="M44" s="86"/>
    </row>
    <row r="45" spans="1:13" s="3" customFormat="1" ht="9.75" customHeight="1">
      <c r="A45" s="71">
        <v>35886</v>
      </c>
      <c r="B45" s="3">
        <v>37</v>
      </c>
      <c r="C45" s="86">
        <v>22706</v>
      </c>
      <c r="D45" s="86"/>
      <c r="E45" s="86"/>
      <c r="F45" s="86"/>
      <c r="G45" s="86"/>
      <c r="H45" s="86"/>
      <c r="I45" s="86"/>
      <c r="J45" s="86"/>
      <c r="K45" s="86"/>
      <c r="L45" s="86"/>
      <c r="M45" s="86"/>
    </row>
    <row r="46" spans="1:13" s="3" customFormat="1" ht="9.75" customHeight="1">
      <c r="A46" s="71">
        <v>35886</v>
      </c>
      <c r="B46" s="3">
        <v>38</v>
      </c>
      <c r="C46" s="86">
        <v>22849</v>
      </c>
      <c r="D46" s="86"/>
      <c r="E46" s="86"/>
      <c r="F46" s="86"/>
      <c r="G46" s="86"/>
      <c r="H46" s="86"/>
      <c r="I46" s="86"/>
      <c r="J46" s="86"/>
      <c r="K46" s="86"/>
      <c r="L46" s="86"/>
      <c r="M46" s="86"/>
    </row>
    <row r="47" spans="1:13" s="3" customFormat="1" ht="9.75" customHeight="1">
      <c r="A47" s="71">
        <v>35886</v>
      </c>
      <c r="B47" s="3">
        <v>39</v>
      </c>
      <c r="C47" s="86">
        <v>23077</v>
      </c>
      <c r="D47" s="86"/>
      <c r="E47" s="86"/>
      <c r="F47" s="86"/>
      <c r="G47" s="86"/>
      <c r="H47" s="86"/>
      <c r="I47" s="86"/>
      <c r="J47" s="86"/>
      <c r="K47" s="86"/>
      <c r="L47" s="86"/>
      <c r="M47" s="86"/>
    </row>
    <row r="48" spans="1:13" s="3" customFormat="1" ht="9.75" customHeight="1">
      <c r="A48" s="71" t="s">
        <v>280</v>
      </c>
      <c r="C48" s="85">
        <f>SUM(C40:C47)</f>
        <v>183866</v>
      </c>
      <c r="D48" s="86">
        <f>I36+C48</f>
        <v>218941</v>
      </c>
      <c r="E48" s="86">
        <v>163329</v>
      </c>
      <c r="F48" s="86">
        <v>11934</v>
      </c>
      <c r="G48" s="86">
        <f>E48-F48</f>
        <v>151395</v>
      </c>
      <c r="H48" s="86">
        <f>H36+G48</f>
        <v>764825</v>
      </c>
      <c r="I48" s="86">
        <f>D48-E48</f>
        <v>55612</v>
      </c>
      <c r="J48" s="86"/>
      <c r="K48" s="86"/>
      <c r="L48" s="86"/>
      <c r="M48" s="86"/>
    </row>
    <row r="49" spans="3:13" s="3" customFormat="1" ht="9.75" customHeight="1"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</row>
    <row r="50" spans="3:13" s="3" customFormat="1" ht="9.75" customHeight="1"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</row>
    <row r="51" spans="3:13" s="3" customFormat="1" ht="9.75" customHeight="1"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</row>
    <row r="52" spans="3:13" s="3" customFormat="1" ht="9.75" customHeight="1"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</row>
    <row r="53" spans="3:13" s="3" customFormat="1" ht="9.75" customHeight="1"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</row>
    <row r="54" spans="3:13" s="3" customFormat="1" ht="9.75" customHeight="1"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</row>
    <row r="55" spans="3:13" s="3" customFormat="1" ht="9.75" customHeight="1"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</row>
    <row r="56" spans="3:13" s="3" customFormat="1" ht="9.75" customHeight="1"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</row>
    <row r="57" spans="3:13" s="3" customFormat="1" ht="9.75" customHeight="1"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</row>
    <row r="58" spans="3:13" s="3" customFormat="1" ht="9.75" customHeight="1"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</row>
    <row r="59" spans="3:13" s="3" customFormat="1" ht="9.75" customHeight="1"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</row>
    <row r="60" spans="3:13" s="3" customFormat="1" ht="9.75" customHeight="1"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</row>
    <row r="61" spans="3:13" s="3" customFormat="1" ht="9.75" customHeight="1"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</row>
    <row r="62" spans="3:13" s="3" customFormat="1" ht="9.75" customHeight="1"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</row>
    <row r="63" spans="3:13" s="3" customFormat="1" ht="9.75" customHeight="1"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</row>
    <row r="64" spans="3:13" s="3" customFormat="1" ht="9.75" customHeight="1"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</row>
    <row r="65" spans="3:13" s="3" customFormat="1" ht="9.75" customHeight="1"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</row>
    <row r="66" spans="3:13" s="3" customFormat="1" ht="9.75" customHeight="1"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</row>
    <row r="67" spans="3:13" s="3" customFormat="1" ht="9.75" customHeight="1"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</row>
    <row r="68" spans="3:13" s="3" customFormat="1" ht="9.75" customHeight="1"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</row>
    <row r="69" spans="3:13" s="3" customFormat="1" ht="9.75" customHeight="1"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</row>
    <row r="70" spans="3:13" s="3" customFormat="1" ht="9.75" customHeight="1"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</row>
    <row r="71" spans="3:13" s="3" customFormat="1" ht="9.75" customHeight="1"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</row>
    <row r="72" spans="3:13" s="3" customFormat="1" ht="9.75" customHeight="1"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</row>
    <row r="73" spans="3:13" s="3" customFormat="1" ht="9.75" customHeight="1"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</row>
    <row r="74" spans="3:13" s="3" customFormat="1" ht="9.75" customHeight="1"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</row>
    <row r="75" spans="3:13" s="3" customFormat="1" ht="9.75" customHeight="1"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</row>
    <row r="76" spans="3:13" s="3" customFormat="1" ht="9.75" customHeight="1"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</row>
    <row r="77" spans="3:13" s="3" customFormat="1" ht="9.75" customHeight="1"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</row>
    <row r="78" spans="3:13" s="3" customFormat="1" ht="9.75" customHeight="1"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</row>
    <row r="79" spans="3:13" s="3" customFormat="1" ht="9.75" customHeight="1"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</row>
    <row r="80" spans="3:13" s="3" customFormat="1" ht="9.75" customHeight="1"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</row>
    <row r="81" spans="3:13" s="3" customFormat="1" ht="9.75" customHeight="1"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</row>
    <row r="82" spans="3:13" s="3" customFormat="1" ht="9.75" customHeight="1"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</row>
    <row r="83" spans="3:13" s="3" customFormat="1" ht="9.75" customHeight="1"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</row>
    <row r="84" spans="3:13" s="3" customFormat="1" ht="9.75" customHeight="1"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</row>
    <row r="85" spans="3:13" s="3" customFormat="1" ht="9.75" customHeight="1"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</row>
    <row r="86" spans="3:13" s="3" customFormat="1" ht="9.75" customHeight="1"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</row>
    <row r="87" spans="3:13" s="3" customFormat="1" ht="9.75" customHeight="1"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</row>
    <row r="88" spans="3:13" s="3" customFormat="1" ht="9.75" customHeight="1"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</row>
    <row r="89" spans="3:13" s="3" customFormat="1" ht="9.75" customHeight="1"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</row>
    <row r="90" spans="3:13" s="3" customFormat="1" ht="9.75" customHeight="1"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</row>
    <row r="91" spans="3:13" s="3" customFormat="1" ht="9.75" customHeight="1"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</row>
    <row r="92" spans="3:13" s="3" customFormat="1" ht="9.75" customHeight="1"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</row>
    <row r="93" s="3" customFormat="1" ht="9.75" customHeight="1">
      <c r="J93" s="66"/>
    </row>
    <row r="94" s="3" customFormat="1" ht="9.75" customHeight="1">
      <c r="J94" s="66"/>
    </row>
    <row r="95" s="3" customFormat="1" ht="9.75" customHeight="1">
      <c r="J95" s="66"/>
    </row>
    <row r="96" s="3" customFormat="1" ht="9.75" customHeight="1">
      <c r="J96" s="66"/>
    </row>
    <row r="97" s="3" customFormat="1" ht="9.75" customHeight="1">
      <c r="J97" s="66"/>
    </row>
    <row r="98" s="3" customFormat="1" ht="9.75" customHeight="1">
      <c r="J98" s="66"/>
    </row>
    <row r="99" s="3" customFormat="1" ht="9.75" customHeight="1">
      <c r="J99" s="66"/>
    </row>
    <row r="100" s="3" customFormat="1" ht="9.75" customHeight="1">
      <c r="J100" s="66"/>
    </row>
    <row r="101" s="3" customFormat="1" ht="9.75" customHeight="1">
      <c r="J101" s="66"/>
    </row>
    <row r="102" s="3" customFormat="1" ht="9.75" customHeight="1">
      <c r="J102" s="66"/>
    </row>
    <row r="103" s="3" customFormat="1" ht="9.75" customHeight="1">
      <c r="J103" s="66"/>
    </row>
    <row r="104" s="3" customFormat="1" ht="9.75" customHeight="1">
      <c r="J104" s="66"/>
    </row>
    <row r="105" s="3" customFormat="1" ht="9.75" customHeight="1">
      <c r="J105" s="66"/>
    </row>
  </sheetData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&amp;LKitenge Somwé&amp;C&amp;A&amp;R&amp;D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8"/>
  <dimension ref="A1:N38"/>
  <sheetViews>
    <sheetView showZeros="0" workbookViewId="0" topLeftCell="A21">
      <selection activeCell="C29" sqref="C29"/>
    </sheetView>
  </sheetViews>
  <sheetFormatPr defaultColWidth="11.421875" defaultRowHeight="12.75"/>
  <cols>
    <col min="1" max="16384" width="9.28125" style="0" customWidth="1"/>
  </cols>
  <sheetData>
    <row r="1" spans="1:14" ht="35.25" customHeight="1">
      <c r="A1" s="24" t="s">
        <v>20</v>
      </c>
      <c r="B1" s="25" t="s">
        <v>21</v>
      </c>
      <c r="E1" s="26"/>
      <c r="F1" s="27" t="s">
        <v>22</v>
      </c>
      <c r="G1" s="27"/>
      <c r="H1" s="27" t="s">
        <v>23</v>
      </c>
      <c r="I1" s="28" t="s">
        <v>24</v>
      </c>
      <c r="J1" s="29"/>
      <c r="K1" s="29"/>
      <c r="L1" s="29"/>
      <c r="M1" s="30" t="s">
        <v>25</v>
      </c>
      <c r="N1" s="31">
        <f ca="1">TODAY()</f>
        <v>35949</v>
      </c>
    </row>
    <row r="2" spans="1:11" ht="6.75" customHeight="1">
      <c r="A2" s="32"/>
      <c r="B2" s="25"/>
      <c r="D2" s="50"/>
      <c r="E2" s="26"/>
      <c r="F2" s="27"/>
      <c r="G2" s="27"/>
      <c r="H2" s="27"/>
      <c r="I2" s="28"/>
      <c r="J2" s="33"/>
      <c r="K2" s="34"/>
    </row>
    <row r="3" spans="1:14" s="3" customFormat="1" ht="10.5" customHeight="1">
      <c r="A3" s="35" t="s">
        <v>26</v>
      </c>
      <c r="B3" s="35"/>
      <c r="D3" s="51"/>
      <c r="G3" s="269" t="s">
        <v>27</v>
      </c>
      <c r="H3" s="270"/>
      <c r="J3" s="281" t="s">
        <v>28</v>
      </c>
      <c r="K3" s="282"/>
      <c r="M3" s="281" t="s">
        <v>29</v>
      </c>
      <c r="N3" s="282"/>
    </row>
    <row r="4" spans="1:14" s="3" customFormat="1" ht="11.25">
      <c r="A4" s="246">
        <f>56926+39406</f>
        <v>96332</v>
      </c>
      <c r="B4" s="247">
        <v>11721</v>
      </c>
      <c r="C4" s="3" t="s">
        <v>214</v>
      </c>
      <c r="D4" s="51"/>
      <c r="G4" s="3">
        <v>0</v>
      </c>
      <c r="H4" s="15">
        <v>0</v>
      </c>
      <c r="J4" s="3">
        <v>0</v>
      </c>
      <c r="K4" s="15"/>
      <c r="N4" s="15"/>
    </row>
    <row r="5" spans="1:14" s="3" customFormat="1" ht="11.25">
      <c r="A5" s="246">
        <f>'Remettants Mai 98'!$C$7</f>
        <v>49163</v>
      </c>
      <c r="B5" s="247">
        <f>55437+12728</f>
        <v>68165</v>
      </c>
      <c r="C5" s="3" t="s">
        <v>275</v>
      </c>
      <c r="D5" s="51"/>
      <c r="G5" s="3">
        <v>0</v>
      </c>
      <c r="H5" s="15"/>
      <c r="K5" s="15"/>
      <c r="N5" s="15"/>
    </row>
    <row r="6" spans="1:14" s="3" customFormat="1" ht="11.25">
      <c r="A6" s="246">
        <f>'Remettants Mai 98'!$C$17</f>
        <v>78043</v>
      </c>
      <c r="B6" s="246">
        <f>PrélèvemtSilo!$A$49</f>
        <v>64325</v>
      </c>
      <c r="C6" s="3" t="s">
        <v>276</v>
      </c>
      <c r="D6" s="51"/>
      <c r="G6" s="3">
        <v>0</v>
      </c>
      <c r="H6" s="15"/>
      <c r="K6" s="15"/>
      <c r="N6" s="15"/>
    </row>
    <row r="7" spans="1:14" s="3" customFormat="1" ht="11.25">
      <c r="A7" s="246">
        <f>'Remettants Mai 98'!$C$26</f>
        <v>6542</v>
      </c>
      <c r="B7" s="247">
        <f>PrélèvemtSilo!$F$7</f>
        <v>12614</v>
      </c>
      <c r="C7" s="3" t="s">
        <v>277</v>
      </c>
      <c r="D7" s="51" t="s">
        <v>375</v>
      </c>
      <c r="H7" s="15"/>
      <c r="K7" s="15"/>
      <c r="N7" s="15"/>
    </row>
    <row r="8" spans="1:14" s="3" customFormat="1" ht="11.25">
      <c r="A8" s="246">
        <f>'Remettants Mai 98'!$C$35</f>
        <v>42306</v>
      </c>
      <c r="B8" s="203">
        <f>PrélèvemtSilo!$G$47</f>
        <v>26521</v>
      </c>
      <c r="C8" s="3" t="s">
        <v>374</v>
      </c>
      <c r="E8" s="15"/>
      <c r="H8" s="15"/>
      <c r="K8" s="15"/>
      <c r="N8" s="15"/>
    </row>
    <row r="9" spans="1:14" s="3" customFormat="1" ht="11.25">
      <c r="A9" s="246">
        <f>'Remettants Mai 98'!$C$44</f>
        <v>0</v>
      </c>
      <c r="B9" s="247">
        <v>0</v>
      </c>
      <c r="D9" s="51"/>
      <c r="H9" s="15"/>
      <c r="K9" s="15"/>
      <c r="N9" s="15"/>
    </row>
    <row r="10" spans="1:14" s="3" customFormat="1" ht="11.25">
      <c r="A10" s="246">
        <v>0</v>
      </c>
      <c r="B10" s="247">
        <v>0</v>
      </c>
      <c r="D10" s="51"/>
      <c r="G10" s="3">
        <f>SUM(G4:G9)</f>
        <v>0</v>
      </c>
      <c r="H10" s="15">
        <f>G10-H4-H5-H6-H7-H8-H9</f>
        <v>0</v>
      </c>
      <c r="J10" s="3">
        <f>SUM(J4:J9)</f>
        <v>0</v>
      </c>
      <c r="K10" s="15">
        <f>J10-K4-K5-K6-K7-K8-K9</f>
        <v>0</v>
      </c>
      <c r="N10" s="15"/>
    </row>
    <row r="11" spans="1:4" s="3" customFormat="1" ht="11.25">
      <c r="A11" s="246"/>
      <c r="B11" s="247"/>
      <c r="C11" s="3" t="s">
        <v>376</v>
      </c>
      <c r="D11" s="51"/>
    </row>
    <row r="12" spans="1:14" s="3" customFormat="1" ht="11.25">
      <c r="A12" s="246"/>
      <c r="B12" s="247"/>
      <c r="C12" s="250">
        <v>81034</v>
      </c>
      <c r="D12" s="51"/>
      <c r="K12" s="283" t="s">
        <v>30</v>
      </c>
      <c r="L12" s="272"/>
      <c r="M12" s="272"/>
      <c r="N12" s="273"/>
    </row>
    <row r="13" spans="1:14" s="3" customFormat="1" ht="10.5" customHeight="1">
      <c r="A13" s="248"/>
      <c r="B13" s="249"/>
      <c r="C13" s="3" t="s">
        <v>377</v>
      </c>
      <c r="D13" s="51"/>
      <c r="E13" s="49"/>
      <c r="F13" s="37"/>
      <c r="H13" s="269" t="s">
        <v>89</v>
      </c>
      <c r="I13" s="270"/>
      <c r="K13" s="274"/>
      <c r="L13" s="275"/>
      <c r="M13" s="275"/>
      <c r="N13" s="276"/>
    </row>
    <row r="14" spans="1:14" s="3" customFormat="1" ht="11.25">
      <c r="A14" s="224"/>
      <c r="B14" s="247"/>
      <c r="C14" s="250">
        <v>8008</v>
      </c>
      <c r="D14" s="51"/>
      <c r="E14" s="3">
        <v>0</v>
      </c>
      <c r="F14" s="15">
        <v>0</v>
      </c>
      <c r="H14" s="3">
        <v>42487</v>
      </c>
      <c r="I14" s="15">
        <v>537</v>
      </c>
      <c r="L14" s="3">
        <f>A4</f>
        <v>96332</v>
      </c>
      <c r="M14" s="15"/>
      <c r="N14" s="3">
        <f>B16</f>
        <v>89040</v>
      </c>
    </row>
    <row r="15" spans="1:14" s="3" customFormat="1" ht="11.25">
      <c r="A15" s="224"/>
      <c r="B15" s="247"/>
      <c r="C15" s="250"/>
      <c r="D15" s="51"/>
      <c r="E15" s="3">
        <v>0</v>
      </c>
      <c r="F15" s="15">
        <v>0</v>
      </c>
      <c r="H15" s="3">
        <v>0</v>
      </c>
      <c r="I15" s="15">
        <v>2110</v>
      </c>
      <c r="L15" s="3">
        <f>H14</f>
        <v>42487</v>
      </c>
      <c r="M15" s="15"/>
      <c r="N15" s="3">
        <f>I20</f>
        <v>37559</v>
      </c>
    </row>
    <row r="16" spans="1:14" s="3" customFormat="1" ht="11.25">
      <c r="A16" s="246">
        <f>SUM(A4:A15)</f>
        <v>272386</v>
      </c>
      <c r="B16" s="247">
        <f>A16-B4-B5-B6-B7-B8-B9-B10-B11-B12-B13-B14-B15</f>
        <v>89040</v>
      </c>
      <c r="D16" s="51"/>
      <c r="F16" s="15"/>
      <c r="I16" s="15">
        <v>1618</v>
      </c>
      <c r="L16" s="3">
        <f>G4</f>
        <v>0</v>
      </c>
      <c r="M16" s="15"/>
      <c r="N16" s="3">
        <v>0</v>
      </c>
    </row>
    <row r="17" spans="1:13" s="3" customFormat="1" ht="11.25">
      <c r="A17" s="7"/>
      <c r="B17" s="7"/>
      <c r="D17" s="51"/>
      <c r="F17" s="15"/>
      <c r="I17" s="15">
        <v>663</v>
      </c>
      <c r="M17" s="15"/>
    </row>
    <row r="18" spans="1:13" s="3" customFormat="1" ht="11.25">
      <c r="A18" s="7"/>
      <c r="B18" s="7"/>
      <c r="D18" s="51"/>
      <c r="F18" s="15"/>
      <c r="I18" s="15">
        <v>0</v>
      </c>
      <c r="J18" s="3" t="s">
        <v>215</v>
      </c>
      <c r="M18" s="15"/>
    </row>
    <row r="19" spans="1:13" s="3" customFormat="1" ht="11.25">
      <c r="A19" s="7"/>
      <c r="B19" s="7"/>
      <c r="D19" s="51"/>
      <c r="F19" s="15"/>
      <c r="I19" s="15"/>
      <c r="J19" s="4">
        <f>I14+I15+I16+I17+I18</f>
        <v>4928</v>
      </c>
      <c r="M19" s="15"/>
    </row>
    <row r="20" spans="1:14" s="3" customFormat="1" ht="12.75">
      <c r="A20" s="7"/>
      <c r="B20" s="7"/>
      <c r="D20" s="51"/>
      <c r="E20" s="3">
        <f>SUM(E14:E19)</f>
        <v>0</v>
      </c>
      <c r="F20" s="15">
        <f>E20-F14-F15-F16-F17-F18-F19</f>
        <v>0</v>
      </c>
      <c r="H20" s="3">
        <f>SUM(H14:H19)</f>
        <v>42487</v>
      </c>
      <c r="I20" s="15">
        <f>H20-I14-I15-I16-I17-I18-I19</f>
        <v>37559</v>
      </c>
      <c r="L20" s="3">
        <f>SUM(L14:L19)</f>
        <v>138819</v>
      </c>
      <c r="M20" s="284">
        <f>N14+N15</f>
        <v>126599</v>
      </c>
      <c r="N20" s="278"/>
    </row>
    <row r="21" spans="1:14" s="3" customFormat="1" ht="12" thickBot="1">
      <c r="A21" s="38"/>
      <c r="B21" s="38"/>
      <c r="C21" s="38"/>
      <c r="D21" s="52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="3" customFormat="1" ht="11.25"/>
    <row r="23" spans="1:14" s="3" customFormat="1" ht="11.25">
      <c r="A23" s="36" t="s">
        <v>31</v>
      </c>
      <c r="B23" s="37"/>
      <c r="D23" s="36" t="s">
        <v>32</v>
      </c>
      <c r="E23" s="37"/>
      <c r="G23" s="36" t="s">
        <v>33</v>
      </c>
      <c r="H23" s="37"/>
      <c r="J23" s="39"/>
      <c r="K23" s="39"/>
      <c r="M23" s="39"/>
      <c r="N23" s="39"/>
    </row>
    <row r="24" spans="1:14" s="3" customFormat="1" ht="11.25">
      <c r="A24" s="3">
        <v>46392</v>
      </c>
      <c r="B24" s="15">
        <v>3001</v>
      </c>
      <c r="C24" s="7" t="s">
        <v>278</v>
      </c>
      <c r="D24" s="3">
        <v>22452</v>
      </c>
      <c r="E24" s="15"/>
      <c r="G24" s="3">
        <v>302682</v>
      </c>
      <c r="H24" s="15">
        <v>0</v>
      </c>
      <c r="J24" s="7"/>
      <c r="K24" s="7"/>
      <c r="M24" s="7"/>
      <c r="N24" s="7"/>
    </row>
    <row r="25" spans="1:14" s="3" customFormat="1" ht="11.25">
      <c r="A25" s="3">
        <v>0</v>
      </c>
      <c r="B25" s="15">
        <f>79*4</f>
        <v>316</v>
      </c>
      <c r="C25" s="15" t="s">
        <v>216</v>
      </c>
      <c r="D25" s="3">
        <v>0</v>
      </c>
      <c r="E25" s="15"/>
      <c r="G25" s="3">
        <v>1223</v>
      </c>
      <c r="H25" s="15"/>
      <c r="K25" s="11"/>
      <c r="M25" s="7"/>
      <c r="N25" s="7"/>
    </row>
    <row r="26" spans="2:14" s="3" customFormat="1" ht="11.25">
      <c r="B26" s="15">
        <f>316+340</f>
        <v>656</v>
      </c>
      <c r="C26" s="15" t="s">
        <v>216</v>
      </c>
      <c r="E26" s="15"/>
      <c r="G26" s="3">
        <v>0</v>
      </c>
      <c r="H26" s="15"/>
      <c r="K26" s="271" t="s">
        <v>34</v>
      </c>
      <c r="L26" s="272"/>
      <c r="M26" s="272"/>
      <c r="N26" s="273"/>
    </row>
    <row r="27" spans="2:14" s="3" customFormat="1" ht="11.25">
      <c r="B27" s="15">
        <f>3*70</f>
        <v>210</v>
      </c>
      <c r="C27" s="15" t="s">
        <v>381</v>
      </c>
      <c r="E27" s="15"/>
      <c r="G27" s="3">
        <v>0</v>
      </c>
      <c r="H27" s="15"/>
      <c r="K27" s="274"/>
      <c r="L27" s="275"/>
      <c r="M27" s="275"/>
      <c r="N27" s="276"/>
    </row>
    <row r="28" spans="2:14" s="3" customFormat="1" ht="11.25">
      <c r="B28" s="15">
        <v>4806</v>
      </c>
      <c r="C28" s="7">
        <f>B24+B28</f>
        <v>7807</v>
      </c>
      <c r="E28" s="15"/>
      <c r="G28" s="3">
        <v>0</v>
      </c>
      <c r="H28" s="15"/>
      <c r="L28" s="3">
        <f>A24</f>
        <v>46392</v>
      </c>
      <c r="M28" s="15"/>
      <c r="N28" s="3">
        <f>B29</f>
        <v>37403</v>
      </c>
    </row>
    <row r="29" spans="1:14" s="3" customFormat="1" ht="11.25">
      <c r="A29" s="3">
        <f>SUM(A24:A28)</f>
        <v>46392</v>
      </c>
      <c r="B29" s="15">
        <f>A29-B24-B25-B26-B27-B28</f>
        <v>37403</v>
      </c>
      <c r="C29" s="7"/>
      <c r="D29" s="3">
        <f>SUM(D24:D28)</f>
        <v>22452</v>
      </c>
      <c r="E29" s="15">
        <f>D29-E24-E25-E26-E27-E28</f>
        <v>22452</v>
      </c>
      <c r="F29" s="7"/>
      <c r="G29" s="3">
        <f>SUM(G24:G28)</f>
        <v>303905</v>
      </c>
      <c r="H29" s="15">
        <f>G29-H24-H25-H26-H27-H28</f>
        <v>303905</v>
      </c>
      <c r="L29" s="3">
        <f>D24</f>
        <v>22452</v>
      </c>
      <c r="M29" s="15"/>
      <c r="N29" s="3">
        <f>E29</f>
        <v>22452</v>
      </c>
    </row>
    <row r="30" spans="12:14" s="3" customFormat="1" ht="11.25">
      <c r="L30" s="3">
        <f>G24</f>
        <v>302682</v>
      </c>
      <c r="M30" s="15"/>
      <c r="N30" s="3">
        <f>H29</f>
        <v>303905</v>
      </c>
    </row>
    <row r="31" spans="1:14" s="3" customFormat="1" ht="11.25">
      <c r="A31" s="36" t="s">
        <v>35</v>
      </c>
      <c r="B31" s="37"/>
      <c r="D31" s="36" t="s">
        <v>36</v>
      </c>
      <c r="E31" s="37"/>
      <c r="G31" s="36"/>
      <c r="H31" s="37"/>
      <c r="L31" s="3">
        <f>A32</f>
        <v>8825</v>
      </c>
      <c r="M31" s="15"/>
      <c r="N31" s="3">
        <f>B38</f>
        <v>8885</v>
      </c>
    </row>
    <row r="32" spans="1:14" s="3" customFormat="1" ht="11.25">
      <c r="A32" s="3">
        <v>8825</v>
      </c>
      <c r="B32" s="15"/>
      <c r="D32" s="3">
        <v>1951</v>
      </c>
      <c r="E32" s="15"/>
      <c r="H32" s="15"/>
      <c r="L32" s="3">
        <f>D32</f>
        <v>1951</v>
      </c>
      <c r="M32" s="15"/>
      <c r="N32" s="3">
        <f>E38</f>
        <v>1951</v>
      </c>
    </row>
    <row r="33" spans="1:13" s="3" customFormat="1" ht="11.25">
      <c r="A33" s="3">
        <v>60</v>
      </c>
      <c r="B33" s="15"/>
      <c r="D33" s="3">
        <v>0</v>
      </c>
      <c r="E33" s="15"/>
      <c r="H33" s="15"/>
      <c r="M33" s="15"/>
    </row>
    <row r="34" spans="1:13" s="3" customFormat="1" ht="11.25">
      <c r="A34" s="3">
        <v>0</v>
      </c>
      <c r="B34" s="15"/>
      <c r="E34" s="15"/>
      <c r="H34" s="15"/>
      <c r="M34" s="15"/>
    </row>
    <row r="35" spans="1:14" s="3" customFormat="1" ht="12.75">
      <c r="A35" s="3">
        <v>0</v>
      </c>
      <c r="B35" s="15"/>
      <c r="E35" s="15"/>
      <c r="H35" s="15"/>
      <c r="L35" s="3">
        <f>SUM(L28:L34)</f>
        <v>382302</v>
      </c>
      <c r="M35" s="277">
        <f>N28+N29+N30+N31+N32</f>
        <v>374596</v>
      </c>
      <c r="N35" s="278"/>
    </row>
    <row r="36" spans="1:8" ht="12.75">
      <c r="A36" s="3">
        <v>0</v>
      </c>
      <c r="B36" s="15"/>
      <c r="C36" s="3"/>
      <c r="D36" s="3"/>
      <c r="E36" s="15"/>
      <c r="F36" s="3"/>
      <c r="G36" s="3"/>
      <c r="H36" s="15"/>
    </row>
    <row r="37" spans="1:8" ht="12.75">
      <c r="A37" s="3"/>
      <c r="B37" s="15"/>
      <c r="C37" s="3"/>
      <c r="D37" s="3"/>
      <c r="E37" s="15"/>
      <c r="F37" s="3"/>
      <c r="G37" s="3"/>
      <c r="H37" s="15"/>
    </row>
    <row r="38" spans="1:14" ht="12.75">
      <c r="A38" s="3">
        <f>SUM(A32:A37)</f>
        <v>8885</v>
      </c>
      <c r="B38" s="15">
        <f>A38-B32-B33-B34-B35-B36-B37</f>
        <v>8885</v>
      </c>
      <c r="C38" s="3"/>
      <c r="D38" s="3">
        <f>SUM(D32:D37)</f>
        <v>1951</v>
      </c>
      <c r="E38" s="15">
        <f>D38-E32-E33-E34-E35-E36-E37</f>
        <v>1951</v>
      </c>
      <c r="F38" s="3"/>
      <c r="G38" s="3"/>
      <c r="H38" s="15"/>
      <c r="K38" s="40" t="s">
        <v>37</v>
      </c>
      <c r="L38" s="41"/>
      <c r="M38" s="279">
        <f>M20+M35</f>
        <v>501195</v>
      </c>
      <c r="N38" s="280"/>
    </row>
  </sheetData>
  <mergeCells count="9">
    <mergeCell ref="M38:N38"/>
    <mergeCell ref="J3:K3"/>
    <mergeCell ref="M3:N3"/>
    <mergeCell ref="K12:N13"/>
    <mergeCell ref="M20:N20"/>
    <mergeCell ref="G3:H3"/>
    <mergeCell ref="H13:I13"/>
    <mergeCell ref="K26:N27"/>
    <mergeCell ref="M35:N35"/>
  </mergeCells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9"/>
  <dimension ref="A1:N38"/>
  <sheetViews>
    <sheetView workbookViewId="0" topLeftCell="A14">
      <selection activeCell="B8" sqref="B8"/>
    </sheetView>
  </sheetViews>
  <sheetFormatPr defaultColWidth="11.421875" defaultRowHeight="12.75"/>
  <cols>
    <col min="1" max="16384" width="9.28125" style="0" customWidth="1"/>
  </cols>
  <sheetData>
    <row r="1" spans="1:14" ht="35.25" customHeight="1">
      <c r="A1" s="24" t="s">
        <v>64</v>
      </c>
      <c r="B1" s="25" t="s">
        <v>21</v>
      </c>
      <c r="E1" s="26"/>
      <c r="F1" s="27" t="s">
        <v>22</v>
      </c>
      <c r="G1" s="27"/>
      <c r="H1" s="27" t="s">
        <v>65</v>
      </c>
      <c r="I1" s="28" t="s">
        <v>66</v>
      </c>
      <c r="J1" s="29"/>
      <c r="K1" s="29"/>
      <c r="L1" s="29"/>
      <c r="M1" s="30" t="s">
        <v>25</v>
      </c>
      <c r="N1" s="31">
        <f ca="1">TODAY()</f>
        <v>35949</v>
      </c>
    </row>
    <row r="2" spans="1:11" ht="6.75" customHeight="1">
      <c r="A2" s="32"/>
      <c r="B2" s="25"/>
      <c r="E2" s="26"/>
      <c r="F2" s="27"/>
      <c r="G2" s="27"/>
      <c r="H2" s="27"/>
      <c r="I2" s="28"/>
      <c r="J2" s="33"/>
      <c r="K2" s="34"/>
    </row>
    <row r="3" spans="1:14" s="3" customFormat="1" ht="11.25">
      <c r="A3" s="281" t="s">
        <v>67</v>
      </c>
      <c r="B3" s="282"/>
      <c r="C3" s="3" t="s">
        <v>68</v>
      </c>
      <c r="D3" s="281" t="s">
        <v>69</v>
      </c>
      <c r="E3" s="270"/>
      <c r="F3" s="3" t="s">
        <v>70</v>
      </c>
      <c r="G3" s="281" t="s">
        <v>71</v>
      </c>
      <c r="H3" s="270"/>
      <c r="J3" s="291" t="s">
        <v>72</v>
      </c>
      <c r="K3" s="292"/>
      <c r="M3" s="281" t="s">
        <v>73</v>
      </c>
      <c r="N3" s="282"/>
    </row>
    <row r="4" spans="1:14" s="3" customFormat="1" ht="11.25">
      <c r="A4" s="3">
        <v>10907</v>
      </c>
      <c r="B4" s="15">
        <v>8526</v>
      </c>
      <c r="D4" s="3">
        <v>13387</v>
      </c>
      <c r="E4" s="15">
        <v>13584</v>
      </c>
      <c r="G4" s="3">
        <v>1962</v>
      </c>
      <c r="H4" s="15">
        <v>4524</v>
      </c>
      <c r="J4" s="3">
        <f>A4</f>
        <v>10907</v>
      </c>
      <c r="K4" s="15">
        <f>B4</f>
        <v>8526</v>
      </c>
      <c r="M4" s="3">
        <v>8736</v>
      </c>
      <c r="N4" s="15"/>
    </row>
    <row r="5" spans="1:14" s="3" customFormat="1" ht="11.25">
      <c r="A5" s="3">
        <f>899+821</f>
        <v>1720</v>
      </c>
      <c r="B5" s="15">
        <v>0</v>
      </c>
      <c r="D5" s="3">
        <v>1619</v>
      </c>
      <c r="E5" s="15"/>
      <c r="F5" s="84" t="s">
        <v>279</v>
      </c>
      <c r="G5" s="3">
        <v>2625</v>
      </c>
      <c r="H5" s="15"/>
      <c r="J5" s="3">
        <f>D4</f>
        <v>13387</v>
      </c>
      <c r="K5" s="15">
        <f>E4</f>
        <v>13584</v>
      </c>
      <c r="M5" s="3">
        <v>40</v>
      </c>
      <c r="N5" s="15"/>
    </row>
    <row r="6" spans="1:14" s="3" customFormat="1" ht="11.25">
      <c r="A6" s="3">
        <v>1590</v>
      </c>
      <c r="B6" s="15"/>
      <c r="D6" s="3">
        <v>1099</v>
      </c>
      <c r="E6" s="15"/>
      <c r="F6" s="84" t="s">
        <v>288</v>
      </c>
      <c r="G6" s="3">
        <v>1161</v>
      </c>
      <c r="H6" s="15"/>
      <c r="J6" s="3">
        <f>G4</f>
        <v>1962</v>
      </c>
      <c r="K6" s="15">
        <f>H4</f>
        <v>4524</v>
      </c>
      <c r="M6" s="3">
        <v>0</v>
      </c>
      <c r="N6" s="15"/>
    </row>
    <row r="7" spans="1:14" s="3" customFormat="1" ht="11.25">
      <c r="A7" s="3">
        <v>100</v>
      </c>
      <c r="B7" s="15"/>
      <c r="D7" s="3">
        <v>344</v>
      </c>
      <c r="E7" s="15"/>
      <c r="H7" s="15"/>
      <c r="I7" s="48" t="s">
        <v>74</v>
      </c>
      <c r="J7" s="3">
        <f>A5+A6+A7+A8+A9</f>
        <v>3410</v>
      </c>
      <c r="K7" s="15">
        <f>E5</f>
        <v>0</v>
      </c>
      <c r="M7" s="3">
        <v>0</v>
      </c>
      <c r="N7" s="15"/>
    </row>
    <row r="8" spans="1:14" s="3" customFormat="1" ht="11.25">
      <c r="A8" s="3">
        <v>0</v>
      </c>
      <c r="B8" s="15"/>
      <c r="E8" s="15"/>
      <c r="H8" s="15"/>
      <c r="I8" s="48" t="s">
        <v>75</v>
      </c>
      <c r="J8" s="3">
        <f>D5+D6+D7+D8+D9</f>
        <v>3062</v>
      </c>
      <c r="K8" s="15"/>
      <c r="M8" s="3">
        <v>0</v>
      </c>
      <c r="N8" s="15"/>
    </row>
    <row r="9" spans="2:14" s="3" customFormat="1" ht="11.25">
      <c r="B9" s="15"/>
      <c r="E9" s="15"/>
      <c r="H9" s="15"/>
      <c r="I9" s="48" t="s">
        <v>76</v>
      </c>
      <c r="J9" s="3">
        <f>G5+G6+G7+G8+G9</f>
        <v>3786</v>
      </c>
      <c r="K9" s="15"/>
      <c r="M9" s="3">
        <f>SUM(M4:M8)</f>
        <v>8776</v>
      </c>
      <c r="N9" s="15">
        <f>M9-N4-N5--N6-N7-N8</f>
        <v>8776</v>
      </c>
    </row>
    <row r="10" spans="1:11" s="3" customFormat="1" ht="11.25">
      <c r="A10" s="3">
        <f>SUM(A4:A9)</f>
        <v>14317</v>
      </c>
      <c r="B10" s="15">
        <f>A10-B4-B5-B6-B7-B8-B9</f>
        <v>5791</v>
      </c>
      <c r="D10" s="3">
        <f>SUM(D4:D9)</f>
        <v>16449</v>
      </c>
      <c r="E10" s="15">
        <f>D10-E4-E5-E6-E7-E8-E9</f>
        <v>2865</v>
      </c>
      <c r="G10" s="3">
        <f>SUM(G4:G9)</f>
        <v>5748</v>
      </c>
      <c r="H10" s="15">
        <f>G10-H4-H5-H6-H7-H8-H9</f>
        <v>1224</v>
      </c>
      <c r="J10" s="3">
        <f>SUM(J4:J9)</f>
        <v>36514</v>
      </c>
      <c r="K10" s="15">
        <f>J10-K4-K5-K6-K7-K8-K9</f>
        <v>9880</v>
      </c>
    </row>
    <row r="11" spans="11:14" s="3" customFormat="1" ht="11.25" customHeight="1">
      <c r="K11" s="283" t="s">
        <v>77</v>
      </c>
      <c r="L11" s="286"/>
      <c r="M11" s="286"/>
      <c r="N11" s="273"/>
    </row>
    <row r="12" spans="1:14" s="3" customFormat="1" ht="12.75" customHeight="1">
      <c r="A12" s="36" t="s">
        <v>78</v>
      </c>
      <c r="B12" s="37"/>
      <c r="D12" s="281" t="s">
        <v>79</v>
      </c>
      <c r="E12" s="270"/>
      <c r="G12" s="36" t="s">
        <v>80</v>
      </c>
      <c r="H12" s="43"/>
      <c r="K12" s="287"/>
      <c r="L12" s="288"/>
      <c r="M12" s="288"/>
      <c r="N12" s="276"/>
    </row>
    <row r="13" spans="1:14" s="3" customFormat="1" ht="11.25" customHeight="1">
      <c r="A13" s="3">
        <v>25634</v>
      </c>
      <c r="B13" s="15"/>
      <c r="D13" s="3">
        <v>3173</v>
      </c>
      <c r="E13" s="15"/>
      <c r="F13" s="3" t="s">
        <v>352</v>
      </c>
      <c r="G13" s="3">
        <v>479</v>
      </c>
      <c r="H13" s="15"/>
      <c r="L13" s="3">
        <f>J10</f>
        <v>36514</v>
      </c>
      <c r="M13" s="15"/>
      <c r="N13" s="3">
        <f>K10</f>
        <v>9880</v>
      </c>
    </row>
    <row r="14" spans="1:14" s="3" customFormat="1" ht="11.25">
      <c r="A14" s="3">
        <v>566</v>
      </c>
      <c r="B14" s="15"/>
      <c r="D14" s="3">
        <v>80</v>
      </c>
      <c r="E14" s="15"/>
      <c r="G14" s="3">
        <v>80</v>
      </c>
      <c r="H14" s="15"/>
      <c r="J14" s="39"/>
      <c r="L14" s="3">
        <f>M4</f>
        <v>8736</v>
      </c>
      <c r="M14" s="15"/>
      <c r="N14" s="3">
        <f>N9</f>
        <v>8776</v>
      </c>
    </row>
    <row r="15" spans="1:14" s="3" customFormat="1" ht="11.25">
      <c r="A15" s="3">
        <v>600</v>
      </c>
      <c r="B15" s="15"/>
      <c r="D15" s="3">
        <v>0</v>
      </c>
      <c r="E15" s="15"/>
      <c r="H15" s="15"/>
      <c r="J15" s="7"/>
      <c r="L15" s="3">
        <f>A13</f>
        <v>25634</v>
      </c>
      <c r="M15" s="15"/>
      <c r="N15" s="3">
        <f>B18</f>
        <v>27663</v>
      </c>
    </row>
    <row r="16" spans="1:14" s="3" customFormat="1" ht="11.25">
      <c r="A16" s="3">
        <v>260</v>
      </c>
      <c r="B16" s="15"/>
      <c r="D16" s="3">
        <v>0</v>
      </c>
      <c r="E16" s="15"/>
      <c r="H16" s="15"/>
      <c r="J16" s="7"/>
      <c r="L16" s="3">
        <f>D13</f>
        <v>3173</v>
      </c>
      <c r="M16" s="15"/>
      <c r="N16" s="3">
        <f>E18</f>
        <v>3253</v>
      </c>
    </row>
    <row r="17" spans="1:14" s="3" customFormat="1" ht="11.25">
      <c r="A17" s="3">
        <v>603</v>
      </c>
      <c r="B17" s="15"/>
      <c r="E17" s="15"/>
      <c r="H17" s="15"/>
      <c r="J17" s="7"/>
      <c r="L17" s="3">
        <f>G13</f>
        <v>479</v>
      </c>
      <c r="M17" s="15"/>
      <c r="N17" s="3">
        <f>H18</f>
        <v>559</v>
      </c>
    </row>
    <row r="18" spans="1:14" s="3" customFormat="1" ht="12.75">
      <c r="A18" s="3">
        <f>SUM(A13:A17)</f>
        <v>27663</v>
      </c>
      <c r="B18" s="15">
        <f>A18-B13-B14--B15-B16-B17</f>
        <v>27663</v>
      </c>
      <c r="D18" s="3">
        <f>SUM(D13:D17)</f>
        <v>3253</v>
      </c>
      <c r="E18" s="15">
        <f>D18-E13-E14--E15-E16-E17</f>
        <v>3253</v>
      </c>
      <c r="G18" s="3">
        <f>SUM(G13:G17)</f>
        <v>559</v>
      </c>
      <c r="H18" s="15">
        <f>G18-H13-H14--H15-H16-H17</f>
        <v>559</v>
      </c>
      <c r="J18" s="7"/>
      <c r="L18" s="3">
        <f>SUM(L13:L17)</f>
        <v>74536</v>
      </c>
      <c r="M18" s="285">
        <f>N13+N14+N15+N16+N17</f>
        <v>50131</v>
      </c>
      <c r="N18" s="278"/>
    </row>
    <row r="19" spans="1:14" s="3" customFormat="1" ht="12" thickBo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="3" customFormat="1" ht="11.25">
      <c r="M20" s="7"/>
    </row>
    <row r="21" spans="1:14" s="3" customFormat="1" ht="12.75">
      <c r="A21" s="290" t="s">
        <v>81</v>
      </c>
      <c r="B21" s="270"/>
      <c r="D21" s="290" t="s">
        <v>82</v>
      </c>
      <c r="E21" s="270"/>
      <c r="G21" s="290" t="s">
        <v>83</v>
      </c>
      <c r="H21" s="270"/>
      <c r="J21" s="290" t="s">
        <v>84</v>
      </c>
      <c r="K21" s="270"/>
      <c r="M21" s="36"/>
      <c r="N21" s="37"/>
    </row>
    <row r="22" spans="1:14" s="3" customFormat="1" ht="11.25">
      <c r="A22" s="3">
        <v>7083</v>
      </c>
      <c r="B22" s="15"/>
      <c r="D22" s="3">
        <v>24168</v>
      </c>
      <c r="E22" s="15"/>
      <c r="G22" s="3">
        <v>16028</v>
      </c>
      <c r="H22" s="15"/>
      <c r="J22" s="3">
        <v>3412</v>
      </c>
      <c r="K22" s="15"/>
      <c r="N22" s="15"/>
    </row>
    <row r="23" spans="2:14" s="3" customFormat="1" ht="11.25">
      <c r="B23" s="15"/>
      <c r="E23" s="15"/>
      <c r="H23" s="15"/>
      <c r="K23" s="15"/>
      <c r="N23" s="15"/>
    </row>
    <row r="24" spans="2:14" s="3" customFormat="1" ht="11.25">
      <c r="B24" s="15"/>
      <c r="E24" s="15"/>
      <c r="H24" s="15"/>
      <c r="K24" s="15"/>
      <c r="N24" s="15"/>
    </row>
    <row r="25" spans="2:14" s="3" customFormat="1" ht="11.25">
      <c r="B25" s="15"/>
      <c r="E25" s="15"/>
      <c r="H25" s="15"/>
      <c r="K25" s="15"/>
      <c r="N25" s="15"/>
    </row>
    <row r="26" spans="2:14" s="3" customFormat="1" ht="11.25">
      <c r="B26" s="15"/>
      <c r="E26" s="15"/>
      <c r="H26" s="15"/>
      <c r="J26" s="3">
        <f>SUM(J22:J25)</f>
        <v>3412</v>
      </c>
      <c r="K26" s="15">
        <f>J26-K22-K23-K24-K25</f>
        <v>3412</v>
      </c>
      <c r="N26" s="15"/>
    </row>
    <row r="27" spans="2:14" s="3" customFormat="1" ht="11.25">
      <c r="B27" s="15"/>
      <c r="E27" s="15"/>
      <c r="H27" s="15"/>
      <c r="K27" s="11"/>
      <c r="N27" s="15"/>
    </row>
    <row r="28" spans="1:14" s="3" customFormat="1" ht="11.25">
      <c r="A28" s="3">
        <f>SUM(A22:A27)</f>
        <v>7083</v>
      </c>
      <c r="B28" s="15">
        <f>A28-B22-B23-B24-B25-B26-B27</f>
        <v>7083</v>
      </c>
      <c r="D28" s="3">
        <f>SUM(D22:D27)</f>
        <v>24168</v>
      </c>
      <c r="E28" s="15">
        <f>D28-E22-E23-E24-E25-E26-E27</f>
        <v>24168</v>
      </c>
      <c r="G28" s="3">
        <f>SUM(G22:G27)</f>
        <v>16028</v>
      </c>
      <c r="H28" s="15">
        <f>G28-H22-H23-H24-H25-H26-H27</f>
        <v>16028</v>
      </c>
      <c r="K28" s="271" t="s">
        <v>85</v>
      </c>
      <c r="L28" s="286"/>
      <c r="M28" s="286"/>
      <c r="N28" s="273"/>
    </row>
    <row r="29" spans="11:14" s="3" customFormat="1" ht="11.25">
      <c r="K29" s="287"/>
      <c r="L29" s="288"/>
      <c r="M29" s="288"/>
      <c r="N29" s="276"/>
    </row>
    <row r="30" spans="12:14" s="3" customFormat="1" ht="11.25">
      <c r="L30" s="3">
        <f>A22</f>
        <v>7083</v>
      </c>
      <c r="M30" s="15"/>
      <c r="N30" s="3">
        <f>B28</f>
        <v>7083</v>
      </c>
    </row>
    <row r="31" spans="1:14" s="3" customFormat="1" ht="12.75">
      <c r="A31" s="269" t="s">
        <v>86</v>
      </c>
      <c r="B31" s="289"/>
      <c r="D31" s="269" t="s">
        <v>87</v>
      </c>
      <c r="E31" s="289"/>
      <c r="G31" s="269" t="s">
        <v>88</v>
      </c>
      <c r="H31" s="289"/>
      <c r="J31" s="39"/>
      <c r="L31" s="3">
        <f>D22</f>
        <v>24168</v>
      </c>
      <c r="M31" s="15"/>
      <c r="N31" s="3">
        <f>E28</f>
        <v>24168</v>
      </c>
    </row>
    <row r="32" spans="2:14" s="3" customFormat="1" ht="11.25">
      <c r="B32" s="15"/>
      <c r="D32" s="3">
        <v>8723</v>
      </c>
      <c r="E32" s="15"/>
      <c r="H32" s="15"/>
      <c r="J32" s="7"/>
      <c r="L32" s="3">
        <f>G22</f>
        <v>16028</v>
      </c>
      <c r="M32" s="15"/>
      <c r="N32" s="3">
        <f>H28</f>
        <v>16028</v>
      </c>
    </row>
    <row r="33" spans="2:14" s="3" customFormat="1" ht="11.25">
      <c r="B33" s="15"/>
      <c r="D33" s="3">
        <v>14161</v>
      </c>
      <c r="E33" s="15"/>
      <c r="H33" s="15"/>
      <c r="J33" s="7"/>
      <c r="L33" s="3">
        <f>J22</f>
        <v>3412</v>
      </c>
      <c r="M33" s="15"/>
      <c r="N33" s="3">
        <f>K26</f>
        <v>3412</v>
      </c>
    </row>
    <row r="34" spans="2:14" s="3" customFormat="1" ht="11.25">
      <c r="B34" s="15"/>
      <c r="E34" s="15"/>
      <c r="H34" s="15"/>
      <c r="J34" s="7"/>
      <c r="L34" s="3">
        <f>D32</f>
        <v>8723</v>
      </c>
      <c r="M34" s="15"/>
      <c r="N34" s="3">
        <f>E38</f>
        <v>22884</v>
      </c>
    </row>
    <row r="35" spans="2:13" s="3" customFormat="1" ht="11.25">
      <c r="B35" s="15"/>
      <c r="E35" s="15"/>
      <c r="H35" s="15"/>
      <c r="J35" s="7"/>
      <c r="M35" s="15"/>
    </row>
    <row r="36" spans="1:14" ht="12.75">
      <c r="A36" s="3"/>
      <c r="B36" s="15"/>
      <c r="C36" s="3"/>
      <c r="D36" s="3"/>
      <c r="E36" s="15"/>
      <c r="F36" s="3"/>
      <c r="G36" s="3"/>
      <c r="H36" s="15"/>
      <c r="I36" s="3"/>
      <c r="J36" s="7"/>
      <c r="K36" s="3"/>
      <c r="L36" s="3">
        <f>SUM(L30:L35)</f>
        <v>59414</v>
      </c>
      <c r="M36" s="285">
        <f>N30+N31+N32+N33+N34</f>
        <v>73575</v>
      </c>
      <c r="N36" s="278"/>
    </row>
    <row r="37" spans="1:14" ht="12.75">
      <c r="A37" s="3"/>
      <c r="B37" s="15"/>
      <c r="C37" s="3"/>
      <c r="D37" s="3"/>
      <c r="E37" s="15"/>
      <c r="F37" s="3"/>
      <c r="G37" s="3"/>
      <c r="H37" s="15"/>
      <c r="I37" s="3"/>
      <c r="J37" s="7"/>
      <c r="K37" s="7"/>
      <c r="L37" s="7"/>
      <c r="M37" s="7"/>
      <c r="N37" s="7"/>
    </row>
    <row r="38" spans="1:14" ht="12.75">
      <c r="A38" s="3"/>
      <c r="B38" s="15"/>
      <c r="C38" s="3"/>
      <c r="D38" s="3">
        <f>SUM(D32:D37)</f>
        <v>22884</v>
      </c>
      <c r="E38" s="15">
        <f>D38-E32-E33-E34-E35-E36-E37</f>
        <v>22884</v>
      </c>
      <c r="F38" s="3"/>
      <c r="G38" s="3"/>
      <c r="H38" s="15"/>
      <c r="I38" s="3"/>
      <c r="J38" s="7"/>
      <c r="K38" s="40" t="s">
        <v>37</v>
      </c>
      <c r="L38" s="6"/>
      <c r="M38" s="279">
        <f>M18+M36</f>
        <v>123706</v>
      </c>
      <c r="N38" s="280"/>
    </row>
  </sheetData>
  <mergeCells count="18">
    <mergeCell ref="A3:B3"/>
    <mergeCell ref="D3:E3"/>
    <mergeCell ref="G3:H3"/>
    <mergeCell ref="J3:K3"/>
    <mergeCell ref="M3:N3"/>
    <mergeCell ref="K11:N12"/>
    <mergeCell ref="D12:E12"/>
    <mergeCell ref="M18:N18"/>
    <mergeCell ref="A21:B21"/>
    <mergeCell ref="D21:E21"/>
    <mergeCell ref="G21:H21"/>
    <mergeCell ref="J21:K21"/>
    <mergeCell ref="M36:N36"/>
    <mergeCell ref="M38:N38"/>
    <mergeCell ref="K28:N29"/>
    <mergeCell ref="A31:B31"/>
    <mergeCell ref="D31:E31"/>
    <mergeCell ref="G31:H31"/>
  </mergeCells>
  <printOptions/>
  <pageMargins left="0.75" right="0.75" top="1" bottom="1" header="0.4921259845" footer="0.4921259845"/>
  <pageSetup horizontalDpi="300" verticalDpi="300" orientation="landscape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0"/>
  <dimension ref="A1:Q38"/>
  <sheetViews>
    <sheetView workbookViewId="0" topLeftCell="C1">
      <selection activeCell="M37" sqref="M37:N37"/>
    </sheetView>
  </sheetViews>
  <sheetFormatPr defaultColWidth="11.421875" defaultRowHeight="12.75"/>
  <cols>
    <col min="1" max="16384" width="9.28125" style="0" customWidth="1"/>
  </cols>
  <sheetData>
    <row r="1" spans="1:14" ht="35.25" customHeight="1">
      <c r="A1" s="24" t="s">
        <v>20</v>
      </c>
      <c r="B1" s="25" t="s">
        <v>21</v>
      </c>
      <c r="E1" s="26"/>
      <c r="F1" s="27" t="s">
        <v>22</v>
      </c>
      <c r="G1" s="27"/>
      <c r="H1" s="27" t="s">
        <v>38</v>
      </c>
      <c r="I1" s="28" t="s">
        <v>39</v>
      </c>
      <c r="J1" s="29"/>
      <c r="K1" s="29"/>
      <c r="L1" s="29"/>
      <c r="M1" s="42" t="s">
        <v>25</v>
      </c>
      <c r="N1" s="31">
        <f ca="1">TODAY()</f>
        <v>35949</v>
      </c>
    </row>
    <row r="2" spans="1:11" ht="6.75" customHeight="1">
      <c r="A2" s="32"/>
      <c r="B2" s="25"/>
      <c r="E2" s="26"/>
      <c r="F2" s="27"/>
      <c r="G2" s="27"/>
      <c r="H2" s="27"/>
      <c r="I2" s="28"/>
      <c r="J2" s="33"/>
      <c r="K2" s="34"/>
    </row>
    <row r="3" spans="1:14" s="3" customFormat="1" ht="12.75">
      <c r="A3" s="269" t="s">
        <v>40</v>
      </c>
      <c r="B3" s="289"/>
      <c r="D3" s="269" t="s">
        <v>41</v>
      </c>
      <c r="E3" s="289"/>
      <c r="G3" s="269" t="s">
        <v>42</v>
      </c>
      <c r="H3" s="289"/>
      <c r="J3" s="281" t="s">
        <v>43</v>
      </c>
      <c r="K3" s="282"/>
      <c r="M3" s="269" t="s">
        <v>44</v>
      </c>
      <c r="N3" s="289"/>
    </row>
    <row r="4" spans="1:14" s="3" customFormat="1" ht="11.25">
      <c r="A4" s="3">
        <v>1910</v>
      </c>
      <c r="B4" s="15"/>
      <c r="D4" s="3">
        <v>2474</v>
      </c>
      <c r="E4" s="15"/>
      <c r="G4" s="3">
        <v>95</v>
      </c>
      <c r="H4" s="15"/>
      <c r="J4" s="3">
        <v>1901</v>
      </c>
      <c r="K4" s="15"/>
      <c r="M4" s="3">
        <v>967</v>
      </c>
      <c r="N4" s="15"/>
    </row>
    <row r="5" spans="2:14" s="3" customFormat="1" ht="11.25">
      <c r="B5" s="15"/>
      <c r="D5" s="3">
        <v>0</v>
      </c>
      <c r="E5" s="15"/>
      <c r="H5" s="15"/>
      <c r="K5" s="15"/>
      <c r="N5" s="15"/>
    </row>
    <row r="6" spans="2:14" s="3" customFormat="1" ht="11.25">
      <c r="B6" s="15"/>
      <c r="E6" s="15"/>
      <c r="H6" s="15"/>
      <c r="K6" s="15"/>
      <c r="N6" s="15"/>
    </row>
    <row r="7" spans="2:14" s="3" customFormat="1" ht="11.25">
      <c r="B7" s="15"/>
      <c r="E7" s="15"/>
      <c r="H7" s="15"/>
      <c r="K7" s="15"/>
      <c r="N7" s="15"/>
    </row>
    <row r="8" spans="2:14" s="3" customFormat="1" ht="11.25">
      <c r="B8" s="15"/>
      <c r="E8" s="15"/>
      <c r="H8" s="15"/>
      <c r="K8" s="15"/>
      <c r="N8" s="15"/>
    </row>
    <row r="9" spans="2:14" s="3" customFormat="1" ht="11.25">
      <c r="B9" s="15"/>
      <c r="E9" s="15"/>
      <c r="H9" s="15"/>
      <c r="J9" s="3">
        <f>SUM(J4:J8)</f>
        <v>1901</v>
      </c>
      <c r="K9" s="15">
        <f>J9-K4-K5-K6-K7-K8</f>
        <v>1901</v>
      </c>
      <c r="M9" s="3">
        <f>SUM(M4:M8)</f>
        <v>967</v>
      </c>
      <c r="N9" s="15">
        <f>M9-N4-N5-N6-N7-N8</f>
        <v>967</v>
      </c>
    </row>
    <row r="10" spans="1:14" s="3" customFormat="1" ht="11.25">
      <c r="A10" s="3">
        <f>SUM(A4:A9)</f>
        <v>1910</v>
      </c>
      <c r="B10" s="15">
        <f>A10-B4-B5-B6-B7-B8-B9</f>
        <v>1910</v>
      </c>
      <c r="D10" s="3">
        <f>SUM(D4:D9)</f>
        <v>2474</v>
      </c>
      <c r="E10" s="15">
        <f>D10-E4-E5-E6-E7-E8-E9</f>
        <v>2474</v>
      </c>
      <c r="G10" s="3">
        <f>SUM(G4:G9)</f>
        <v>95</v>
      </c>
      <c r="H10" s="15">
        <f>G10-H4-H5-H6-H7-H8-H9</f>
        <v>95</v>
      </c>
      <c r="K10" s="11"/>
      <c r="N10" s="15"/>
    </row>
    <row r="11" spans="11:14" s="3" customFormat="1" ht="11.25">
      <c r="K11" s="271" t="s">
        <v>45</v>
      </c>
      <c r="L11" s="272"/>
      <c r="M11" s="272"/>
      <c r="N11" s="273"/>
    </row>
    <row r="12" spans="1:14" s="3" customFormat="1" ht="12.75">
      <c r="A12" s="269" t="s">
        <v>46</v>
      </c>
      <c r="B12" s="289"/>
      <c r="D12" s="269" t="s">
        <v>47</v>
      </c>
      <c r="E12" s="289"/>
      <c r="G12" s="269" t="s">
        <v>48</v>
      </c>
      <c r="H12" s="289"/>
      <c r="I12" s="36" t="s">
        <v>49</v>
      </c>
      <c r="J12" s="43"/>
      <c r="K12" s="274"/>
      <c r="L12" s="275"/>
      <c r="M12" s="275"/>
      <c r="N12" s="276"/>
    </row>
    <row r="13" spans="1:13" s="3" customFormat="1" ht="11.25">
      <c r="A13" s="3">
        <v>32988</v>
      </c>
      <c r="B13" s="15"/>
      <c r="D13" s="3">
        <v>5476</v>
      </c>
      <c r="E13" s="15"/>
      <c r="G13" s="3">
        <v>347</v>
      </c>
      <c r="H13" s="15"/>
      <c r="I13" s="3">
        <v>407</v>
      </c>
      <c r="J13" s="15"/>
      <c r="K13" s="3">
        <f>B10</f>
        <v>1910</v>
      </c>
      <c r="L13" s="3">
        <f>N9</f>
        <v>967</v>
      </c>
      <c r="M13" s="14"/>
    </row>
    <row r="14" spans="2:13" s="3" customFormat="1" ht="11.25">
      <c r="B14" s="15"/>
      <c r="E14" s="15"/>
      <c r="H14" s="15"/>
      <c r="J14" s="15"/>
      <c r="K14" s="3">
        <f>E10</f>
        <v>2474</v>
      </c>
      <c r="L14" s="3">
        <f>B18</f>
        <v>32988</v>
      </c>
      <c r="M14" s="15"/>
    </row>
    <row r="15" spans="2:13" s="3" customFormat="1" ht="11.25">
      <c r="B15" s="15"/>
      <c r="E15" s="15"/>
      <c r="H15" s="15"/>
      <c r="J15" s="15"/>
      <c r="K15" s="3">
        <f>H10</f>
        <v>95</v>
      </c>
      <c r="L15" s="3">
        <f>E18</f>
        <v>5476</v>
      </c>
      <c r="M15" s="15"/>
    </row>
    <row r="16" spans="2:13" s="3" customFormat="1" ht="11.25">
      <c r="B16" s="15"/>
      <c r="E16" s="15"/>
      <c r="H16" s="15"/>
      <c r="J16" s="15"/>
      <c r="K16" s="3">
        <f>K9</f>
        <v>1901</v>
      </c>
      <c r="L16" s="3">
        <f>H18</f>
        <v>347</v>
      </c>
      <c r="M16" s="15"/>
    </row>
    <row r="17" spans="2:13" s="3" customFormat="1" ht="11.25">
      <c r="B17" s="15"/>
      <c r="E17" s="15"/>
      <c r="H17" s="15"/>
      <c r="J17" s="15"/>
      <c r="L17" s="3">
        <f>J18</f>
        <v>407</v>
      </c>
      <c r="M17" s="15"/>
    </row>
    <row r="18" spans="1:13" s="3" customFormat="1" ht="11.25">
      <c r="A18" s="3">
        <f>SUM(A13:A17)</f>
        <v>32988</v>
      </c>
      <c r="B18" s="15">
        <f>A18-B13-B14-B15-B16-B17</f>
        <v>32988</v>
      </c>
      <c r="D18" s="3">
        <f>SUM(D13:D17)</f>
        <v>5476</v>
      </c>
      <c r="E18" s="15">
        <f>D18-E13-E14-E15-E16-E17</f>
        <v>5476</v>
      </c>
      <c r="G18" s="3">
        <f>SUM(G13:G17)</f>
        <v>347</v>
      </c>
      <c r="H18" s="15">
        <f>G18-H13-H14-H15-H16-H17</f>
        <v>347</v>
      </c>
      <c r="I18" s="3">
        <f>SUM(I13:I17)</f>
        <v>407</v>
      </c>
      <c r="J18" s="15">
        <f>I18-J13-J14-J15-J16-J17</f>
        <v>407</v>
      </c>
      <c r="M18" s="15"/>
    </row>
    <row r="19" spans="12:14" s="3" customFormat="1" ht="11.25" customHeight="1">
      <c r="L19" s="3">
        <f>K13+K14+K15+K16+K17+K18+L13+L14+L15+L16+L17+L18</f>
        <v>46565</v>
      </c>
      <c r="M19" s="299">
        <f>B10+E10+H10+K9+N9+B18+E18+H18+J18</f>
        <v>46565</v>
      </c>
      <c r="N19" s="267"/>
    </row>
    <row r="20" spans="1:17" s="3" customFormat="1" ht="12" thickBo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Q20" s="7"/>
    </row>
    <row r="21" s="3" customFormat="1" ht="11.25"/>
    <row r="22" spans="1:14" s="3" customFormat="1" ht="12.75">
      <c r="A22" s="269" t="s">
        <v>50</v>
      </c>
      <c r="B22" s="300"/>
      <c r="D22" s="269" t="s">
        <v>51</v>
      </c>
      <c r="E22" s="289"/>
      <c r="G22" s="269" t="s">
        <v>52</v>
      </c>
      <c r="H22" s="289"/>
      <c r="J22" s="269" t="s">
        <v>53</v>
      </c>
      <c r="K22" s="289"/>
      <c r="M22" s="36" t="s">
        <v>54</v>
      </c>
      <c r="N22" s="37"/>
    </row>
    <row r="23" spans="1:14" s="3" customFormat="1" ht="11.25">
      <c r="A23" s="3">
        <v>640</v>
      </c>
      <c r="B23" s="15"/>
      <c r="D23" s="3">
        <v>1247</v>
      </c>
      <c r="E23" s="15"/>
      <c r="G23" s="3">
        <v>60671</v>
      </c>
      <c r="H23" s="15"/>
      <c r="J23" s="3">
        <v>8792</v>
      </c>
      <c r="K23" s="15"/>
      <c r="M23" s="3">
        <v>16731</v>
      </c>
      <c r="N23" s="15"/>
    </row>
    <row r="24" spans="2:14" s="3" customFormat="1" ht="11.25">
      <c r="B24" s="15"/>
      <c r="E24" s="15"/>
      <c r="G24" s="3">
        <v>300</v>
      </c>
      <c r="H24" s="15"/>
      <c r="J24" s="3">
        <v>200</v>
      </c>
      <c r="K24" s="15"/>
      <c r="M24" s="3">
        <v>350</v>
      </c>
      <c r="N24" s="15"/>
    </row>
    <row r="25" spans="2:14" s="3" customFormat="1" ht="11.25">
      <c r="B25" s="15"/>
      <c r="E25" s="15"/>
      <c r="G25" s="3">
        <v>800</v>
      </c>
      <c r="H25" s="15"/>
      <c r="K25" s="15"/>
      <c r="M25" s="3">
        <v>0</v>
      </c>
      <c r="N25" s="15"/>
    </row>
    <row r="26" spans="2:14" s="3" customFormat="1" ht="11.25">
      <c r="B26" s="15"/>
      <c r="E26" s="15"/>
      <c r="G26" s="3">
        <v>300</v>
      </c>
      <c r="H26" s="15"/>
      <c r="K26" s="15"/>
      <c r="M26" s="3">
        <v>0</v>
      </c>
      <c r="N26" s="15"/>
    </row>
    <row r="27" spans="2:14" s="3" customFormat="1" ht="11.25">
      <c r="B27" s="15"/>
      <c r="E27" s="15"/>
      <c r="H27" s="15"/>
      <c r="K27" s="15"/>
      <c r="N27" s="15"/>
    </row>
    <row r="28" spans="2:14" s="3" customFormat="1" ht="11.25">
      <c r="B28" s="15"/>
      <c r="E28" s="15"/>
      <c r="H28" s="15"/>
      <c r="J28" s="3">
        <f>SUM(J23:J27)</f>
        <v>8992</v>
      </c>
      <c r="K28" s="15">
        <f>J28-K23-K24-K25--K26-K27</f>
        <v>8992</v>
      </c>
      <c r="M28" s="3">
        <f>SUM(M23:M27)</f>
        <v>17081</v>
      </c>
      <c r="N28" s="15">
        <f>M28-N23-N24-N25--N26-N27</f>
        <v>17081</v>
      </c>
    </row>
    <row r="29" spans="1:11" s="3" customFormat="1" ht="11.25" customHeight="1">
      <c r="A29" s="3">
        <f>SUM(A23:A28)</f>
        <v>640</v>
      </c>
      <c r="B29" s="15">
        <f>A29-B23-B24-B25-B26-B27-B28</f>
        <v>640</v>
      </c>
      <c r="D29" s="3">
        <f>SUM(D23:D28)</f>
        <v>1247</v>
      </c>
      <c r="E29" s="15">
        <f>D29-E23-E24-E25-E26-E27-E28</f>
        <v>1247</v>
      </c>
      <c r="G29" s="3">
        <f>SUM(G23:G28)</f>
        <v>62071</v>
      </c>
      <c r="H29" s="15">
        <f>G29-H23-H24-H25-H26-H27-H28</f>
        <v>62071</v>
      </c>
      <c r="K29" s="11"/>
    </row>
    <row r="30" spans="11:14" s="3" customFormat="1" ht="11.25" customHeight="1">
      <c r="K30" s="271" t="s">
        <v>55</v>
      </c>
      <c r="L30" s="272"/>
      <c r="M30" s="272"/>
      <c r="N30" s="297"/>
    </row>
    <row r="31" spans="1:14" s="3" customFormat="1" ht="12.75">
      <c r="A31" s="269" t="s">
        <v>56</v>
      </c>
      <c r="B31" s="289"/>
      <c r="D31" s="269" t="s">
        <v>57</v>
      </c>
      <c r="E31" s="289"/>
      <c r="G31" s="36" t="s">
        <v>58</v>
      </c>
      <c r="H31" s="37"/>
      <c r="I31" s="39"/>
      <c r="J31" s="39"/>
      <c r="K31" s="274"/>
      <c r="L31" s="275"/>
      <c r="M31" s="275"/>
      <c r="N31" s="298"/>
    </row>
    <row r="32" spans="1:13" s="3" customFormat="1" ht="11.25">
      <c r="A32" s="3">
        <v>8530</v>
      </c>
      <c r="B32" s="15"/>
      <c r="D32" s="3">
        <v>964</v>
      </c>
      <c r="E32" s="15"/>
      <c r="G32" s="3">
        <v>1197</v>
      </c>
      <c r="H32" s="15"/>
      <c r="I32" s="10" t="s">
        <v>59</v>
      </c>
      <c r="J32" s="7" t="s">
        <v>60</v>
      </c>
      <c r="K32" s="3">
        <f>A23</f>
        <v>640</v>
      </c>
      <c r="L32" s="3">
        <f>N28</f>
        <v>17081</v>
      </c>
      <c r="M32" s="15"/>
    </row>
    <row r="33" spans="1:13" s="3" customFormat="1" ht="12">
      <c r="A33" s="3">
        <v>100</v>
      </c>
      <c r="B33" s="15"/>
      <c r="E33" s="15"/>
      <c r="H33" s="15"/>
      <c r="I33" s="293">
        <f>'Mixt&amp;Batt'!$M$38</f>
        <v>501195</v>
      </c>
      <c r="J33" s="293"/>
      <c r="K33" s="3">
        <f>D23</f>
        <v>1247</v>
      </c>
      <c r="L33" s="3">
        <f>A32</f>
        <v>8530</v>
      </c>
      <c r="M33" s="15"/>
    </row>
    <row r="34" spans="2:13" s="3" customFormat="1" ht="11.25">
      <c r="B34" s="15"/>
      <c r="E34" s="15"/>
      <c r="H34" s="15"/>
      <c r="I34" s="10" t="s">
        <v>59</v>
      </c>
      <c r="J34" s="7" t="s">
        <v>61</v>
      </c>
      <c r="K34" s="3">
        <f>H29</f>
        <v>62071</v>
      </c>
      <c r="L34" s="3">
        <f>E38</f>
        <v>964</v>
      </c>
      <c r="M34" s="15"/>
    </row>
    <row r="35" spans="1:14" ht="11.25" customHeight="1">
      <c r="A35" s="3"/>
      <c r="B35" s="15"/>
      <c r="C35" s="3"/>
      <c r="D35" s="3"/>
      <c r="E35" s="15"/>
      <c r="F35" s="3"/>
      <c r="G35" s="3"/>
      <c r="H35" s="15"/>
      <c r="I35" s="293">
        <f>'Accu&amp;Résé'!$M$38</f>
        <v>123706</v>
      </c>
      <c r="J35" s="294"/>
      <c r="K35" s="3">
        <f>J23</f>
        <v>8792</v>
      </c>
      <c r="L35" s="3">
        <f>G32</f>
        <v>1197</v>
      </c>
      <c r="M35" s="15"/>
      <c r="N35" s="3"/>
    </row>
    <row r="36" spans="1:14" ht="11.25" customHeight="1">
      <c r="A36" s="3"/>
      <c r="B36" s="15"/>
      <c r="C36" s="3"/>
      <c r="D36" s="3"/>
      <c r="E36" s="15"/>
      <c r="F36" s="3"/>
      <c r="G36" s="3"/>
      <c r="H36" s="15"/>
      <c r="I36" s="10" t="s">
        <v>59</v>
      </c>
      <c r="J36" s="7" t="s">
        <v>62</v>
      </c>
      <c r="K36" s="3"/>
      <c r="L36" s="3"/>
      <c r="M36" s="15"/>
      <c r="N36" s="3"/>
    </row>
    <row r="37" spans="2:14" s="3" customFormat="1" ht="11.25" customHeight="1">
      <c r="B37" s="15"/>
      <c r="E37" s="15"/>
      <c r="H37" s="15"/>
      <c r="I37" s="293">
        <f>M38</f>
        <v>147387</v>
      </c>
      <c r="J37" s="293"/>
      <c r="K37" s="7"/>
      <c r="L37" s="39">
        <f>K32+K33+K34+K35+K36+L32+L33+L34+L35+L36</f>
        <v>100522</v>
      </c>
      <c r="M37" s="295">
        <f>B29+E29+H29+K28+N28+B38+E38+H38</f>
        <v>100822</v>
      </c>
      <c r="N37" s="296"/>
    </row>
    <row r="38" spans="1:14" ht="15.75">
      <c r="A38" s="3">
        <f>SUM(A32:A37)</f>
        <v>8630</v>
      </c>
      <c r="B38" s="15">
        <f>A38-B32-B33-B34-B35-B36-B37</f>
        <v>8630</v>
      </c>
      <c r="C38" s="3"/>
      <c r="D38" s="3">
        <f>SUM(D32:D37)</f>
        <v>964</v>
      </c>
      <c r="E38" s="15">
        <f>D38-E32-E33-E34-E35-E36-E37</f>
        <v>964</v>
      </c>
      <c r="F38" s="3"/>
      <c r="G38" s="3">
        <f>SUM(G32:G37)</f>
        <v>1197</v>
      </c>
      <c r="H38" s="15">
        <f>G38-H32-H33-H34-H35-H36-H37</f>
        <v>1197</v>
      </c>
      <c r="I38" s="44" t="s">
        <v>2</v>
      </c>
      <c r="J38" s="45">
        <f>I33+I35+I37</f>
        <v>772288</v>
      </c>
      <c r="K38" s="46" t="s">
        <v>63</v>
      </c>
      <c r="L38" s="47"/>
      <c r="M38" s="279">
        <f>M19+M37</f>
        <v>147387</v>
      </c>
      <c r="N38" s="280"/>
    </row>
  </sheetData>
  <mergeCells count="22">
    <mergeCell ref="M3:N3"/>
    <mergeCell ref="K11:N12"/>
    <mergeCell ref="A12:B12"/>
    <mergeCell ref="D12:E12"/>
    <mergeCell ref="G12:H12"/>
    <mergeCell ref="A3:B3"/>
    <mergeCell ref="D3:E3"/>
    <mergeCell ref="G3:H3"/>
    <mergeCell ref="J3:K3"/>
    <mergeCell ref="M19:N19"/>
    <mergeCell ref="A22:B22"/>
    <mergeCell ref="D22:E22"/>
    <mergeCell ref="G22:H22"/>
    <mergeCell ref="J22:K22"/>
    <mergeCell ref="K30:N31"/>
    <mergeCell ref="A31:B31"/>
    <mergeCell ref="D31:E31"/>
    <mergeCell ref="I33:J33"/>
    <mergeCell ref="I35:J35"/>
    <mergeCell ref="I37:J37"/>
    <mergeCell ref="M37:N37"/>
    <mergeCell ref="M38:N38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Mouvement des Stocks  Piles et Accu Mai 98</dc:title>
  <dc:subject>Flux total et inventaire mensuel des produits du stock piles</dc:subject>
  <dc:creator>Kitenge Somwé</dc:creator>
  <cp:keywords/>
  <dc:description/>
  <cp:lastModifiedBy>Kitenge Somwé</cp:lastModifiedBy>
  <cp:lastPrinted>1998-06-03T20:37:54Z</cp:lastPrinted>
  <dcterms:created xsi:type="dcterms:W3CDTF">1998-03-12T17:58:33Z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